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embeddings/oleObject4.bin" ContentType="application/vnd.openxmlformats-officedocument.oleObject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5.xml" ContentType="application/vnd.openxmlformats-officedocument.drawingml.chartshapes+xml"/>
  <Override PartName="/xl/charts/chart12.xml" ContentType="application/vnd.openxmlformats-officedocument.drawingml.chart+xml"/>
  <Override PartName="/xl/drawings/drawing16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charts/chart13.xml" ContentType="application/vnd.openxmlformats-officedocument.drawingml.chart+xml"/>
  <Override PartName="/xl/drawings/drawing17.xml" ContentType="application/vnd.openxmlformats-officedocument.drawingml.chartshapes+xml"/>
  <Override PartName="/xl/charts/chart14.xml" ContentType="application/vnd.openxmlformats-officedocument.drawingml.chart+xml"/>
  <Override PartName="/xl/drawings/drawing18.xml" ContentType="application/vnd.openxmlformats-officedocument.drawing+xml"/>
  <Override PartName="/xl/embeddings/oleObject10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eugen\Desktop\www.eugeniopc.it\idrfluidodMATERIALE\"/>
    </mc:Choice>
  </mc:AlternateContent>
  <xr:revisionPtr revIDLastSave="0" documentId="13_ncr:1_{E2A45B81-AA10-4630-A330-0A69E0504B78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H(h)" sheetId="10" r:id="rId1"/>
    <sheet name="Q(h) " sheetId="7" r:id="rId2"/>
    <sheet name="MotoUniforme" sheetId="3" r:id="rId3"/>
    <sheet name="CorrLenta" sheetId="11" r:id="rId4"/>
    <sheet name="CorrVeloce" sheetId="12" r:id="rId5"/>
    <sheet name="Profili2" sheetId="4" r:id="rId6"/>
    <sheet name=" H(h) N(h)" sheetId="2" r:id="rId7"/>
    <sheet name=" DeflussoECritica" sheetId="5" r:id="rId8"/>
    <sheet name="eserciziMNU" sheetId="6" r:id="rId9"/>
    <sheet name="sogliaesfiorat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1" i="10" l="1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B21" i="12"/>
  <c r="I8" i="11" l="1"/>
  <c r="Q100" i="12"/>
  <c r="P100" i="12"/>
  <c r="Q99" i="12"/>
  <c r="P99" i="12"/>
  <c r="Q98" i="12"/>
  <c r="P98" i="12"/>
  <c r="Q97" i="12"/>
  <c r="P97" i="12"/>
  <c r="Q96" i="12"/>
  <c r="P96" i="12"/>
  <c r="Q95" i="12"/>
  <c r="P95" i="12"/>
  <c r="Q94" i="12"/>
  <c r="P94" i="12"/>
  <c r="Q93" i="12"/>
  <c r="P93" i="12"/>
  <c r="Q92" i="12"/>
  <c r="P92" i="12"/>
  <c r="Q91" i="12"/>
  <c r="P91" i="12"/>
  <c r="Q90" i="12"/>
  <c r="P90" i="12"/>
  <c r="Q89" i="12"/>
  <c r="P89" i="12"/>
  <c r="Q88" i="12"/>
  <c r="P88" i="12"/>
  <c r="Q87" i="12"/>
  <c r="P87" i="12"/>
  <c r="Q86" i="12"/>
  <c r="P86" i="12"/>
  <c r="Q85" i="12"/>
  <c r="P85" i="12"/>
  <c r="Q84" i="12"/>
  <c r="P84" i="12"/>
  <c r="Q83" i="12"/>
  <c r="P83" i="12"/>
  <c r="Q82" i="12"/>
  <c r="P82" i="12"/>
  <c r="Q81" i="12"/>
  <c r="P81" i="12"/>
  <c r="Q80" i="12"/>
  <c r="P80" i="12"/>
  <c r="Q79" i="12"/>
  <c r="P79" i="12"/>
  <c r="Q78" i="12"/>
  <c r="P78" i="12"/>
  <c r="Q77" i="12"/>
  <c r="P77" i="12"/>
  <c r="Q76" i="12"/>
  <c r="P76" i="12"/>
  <c r="Q75" i="12"/>
  <c r="P75" i="12"/>
  <c r="Q74" i="12"/>
  <c r="P74" i="12"/>
  <c r="Q73" i="12"/>
  <c r="P73" i="12"/>
  <c r="Q72" i="12"/>
  <c r="P72" i="12"/>
  <c r="Q71" i="12"/>
  <c r="P71" i="12"/>
  <c r="Q70" i="12"/>
  <c r="P70" i="12"/>
  <c r="Q69" i="12"/>
  <c r="P69" i="12"/>
  <c r="Q68" i="12"/>
  <c r="P68" i="12"/>
  <c r="Q67" i="12"/>
  <c r="P67" i="12"/>
  <c r="Q66" i="12"/>
  <c r="P66" i="12"/>
  <c r="Q65" i="12"/>
  <c r="P65" i="12"/>
  <c r="Q64" i="12"/>
  <c r="P64" i="12"/>
  <c r="Q63" i="12"/>
  <c r="P63" i="12"/>
  <c r="Q62" i="12"/>
  <c r="P62" i="12"/>
  <c r="Q61" i="12"/>
  <c r="P61" i="12"/>
  <c r="Q60" i="12"/>
  <c r="P60" i="12"/>
  <c r="Q59" i="12"/>
  <c r="P59" i="12"/>
  <c r="Q58" i="12"/>
  <c r="P58" i="12"/>
  <c r="Q57" i="12"/>
  <c r="P57" i="12"/>
  <c r="Q56" i="12"/>
  <c r="Q55" i="12"/>
  <c r="Q54" i="12"/>
  <c r="Q53" i="12"/>
  <c r="Q52" i="12"/>
  <c r="Q51" i="12"/>
  <c r="Q50" i="12"/>
  <c r="Q49" i="12"/>
  <c r="Q48" i="12"/>
  <c r="Q47" i="12"/>
  <c r="Q46" i="12"/>
  <c r="Q45" i="12"/>
  <c r="Q44" i="12"/>
  <c r="Q43" i="12"/>
  <c r="Q42" i="12"/>
  <c r="Q41" i="12"/>
  <c r="Q40" i="12"/>
  <c r="Q39" i="12"/>
  <c r="Q38" i="12"/>
  <c r="Q37" i="12"/>
  <c r="Q36" i="12"/>
  <c r="Q35" i="12"/>
  <c r="Q34" i="12"/>
  <c r="Q33" i="12"/>
  <c r="Q32" i="12"/>
  <c r="Q31" i="12"/>
  <c r="Q30" i="12"/>
  <c r="Q29" i="12"/>
  <c r="Q28" i="12"/>
  <c r="Q27" i="12"/>
  <c r="Q26" i="12"/>
  <c r="Q25" i="12"/>
  <c r="Q24" i="12"/>
  <c r="Q23" i="12"/>
  <c r="Q22" i="12"/>
  <c r="Q21" i="12"/>
  <c r="Q20" i="12"/>
  <c r="Q19" i="12"/>
  <c r="Q18" i="12"/>
  <c r="Q17" i="12"/>
  <c r="Q16" i="12"/>
  <c r="Q15" i="12"/>
  <c r="Q14" i="12"/>
  <c r="Q13" i="12"/>
  <c r="Q12" i="12"/>
  <c r="Q11" i="12"/>
  <c r="C12" i="12"/>
  <c r="G11" i="12" l="1"/>
  <c r="N11" i="12" s="1"/>
  <c r="J11" i="12" l="1"/>
  <c r="P11" i="12"/>
  <c r="I6" i="3"/>
  <c r="O99" i="3" l="1"/>
  <c r="O98" i="3"/>
  <c r="O97" i="3"/>
  <c r="O96" i="3"/>
  <c r="O95" i="3"/>
  <c r="O94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I42" i="3" l="1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E6" i="7" l="1"/>
  <c r="G35" i="10"/>
  <c r="F28" i="10"/>
  <c r="G28" i="10" s="1"/>
  <c r="F27" i="10"/>
  <c r="G27" i="10" s="1"/>
  <c r="F25" i="10"/>
  <c r="G25" i="10" s="1"/>
  <c r="F26" i="10"/>
  <c r="G26" i="10" s="1"/>
  <c r="F29" i="10"/>
  <c r="G29" i="10" s="1"/>
  <c r="F30" i="10"/>
  <c r="K30" i="10" s="1"/>
  <c r="F31" i="10"/>
  <c r="G31" i="10" s="1"/>
  <c r="G20" i="10"/>
  <c r="G19" i="10"/>
  <c r="G18" i="10"/>
  <c r="F18" i="10"/>
  <c r="K18" i="10" s="1"/>
  <c r="F24" i="10"/>
  <c r="K24" i="10" s="1"/>
  <c r="F23" i="10"/>
  <c r="K23" i="10" s="1"/>
  <c r="F22" i="10"/>
  <c r="K22" i="10" s="1"/>
  <c r="F21" i="10"/>
  <c r="K21" i="10" s="1"/>
  <c r="F20" i="10"/>
  <c r="K20" i="10" s="1"/>
  <c r="K19" i="10"/>
  <c r="F19" i="10"/>
  <c r="G30" i="10" l="1"/>
  <c r="K28" i="10"/>
  <c r="K27" i="10"/>
  <c r="K26" i="10"/>
  <c r="K29" i="10"/>
  <c r="K31" i="10"/>
  <c r="G24" i="10"/>
  <c r="G23" i="10"/>
  <c r="G22" i="10"/>
  <c r="G21" i="10"/>
  <c r="K25" i="10"/>
  <c r="P56" i="12"/>
  <c r="P55" i="12"/>
  <c r="P54" i="12"/>
  <c r="P53" i="12"/>
  <c r="P52" i="12"/>
  <c r="P51" i="12"/>
  <c r="P50" i="12"/>
  <c r="P49" i="12"/>
  <c r="P48" i="12"/>
  <c r="P47" i="12"/>
  <c r="P46" i="12"/>
  <c r="P45" i="12"/>
  <c r="P44" i="12"/>
  <c r="P43" i="12"/>
  <c r="P42" i="12"/>
  <c r="P41" i="12"/>
  <c r="P40" i="12"/>
  <c r="P39" i="12"/>
  <c r="P38" i="12"/>
  <c r="P37" i="12"/>
  <c r="P36" i="12"/>
  <c r="P35" i="12"/>
  <c r="P34" i="12"/>
  <c r="P33" i="12"/>
  <c r="P32" i="12"/>
  <c r="P31" i="12"/>
  <c r="P30" i="12"/>
  <c r="P29" i="12"/>
  <c r="P28" i="12"/>
  <c r="P27" i="12"/>
  <c r="P26" i="12"/>
  <c r="P25" i="12"/>
  <c r="P24" i="12"/>
  <c r="B24" i="12"/>
  <c r="P23" i="12"/>
  <c r="P22" i="12"/>
  <c r="P21" i="12"/>
  <c r="P20" i="12"/>
  <c r="P19" i="12"/>
  <c r="P18" i="12"/>
  <c r="P17" i="12"/>
  <c r="P16" i="12"/>
  <c r="B16" i="12"/>
  <c r="P15" i="12"/>
  <c r="P14" i="12"/>
  <c r="B14" i="12"/>
  <c r="P13" i="12"/>
  <c r="C13" i="12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C36" i="12" s="1"/>
  <c r="C37" i="12" s="1"/>
  <c r="C38" i="12" s="1"/>
  <c r="C39" i="12" s="1"/>
  <c r="C40" i="12" s="1"/>
  <c r="C41" i="12" s="1"/>
  <c r="C42" i="12" s="1"/>
  <c r="C43" i="12" s="1"/>
  <c r="C44" i="12" s="1"/>
  <c r="C45" i="12" s="1"/>
  <c r="C46" i="12" s="1"/>
  <c r="C47" i="12" s="1"/>
  <c r="C48" i="12" s="1"/>
  <c r="C49" i="12" s="1"/>
  <c r="C50" i="12" s="1"/>
  <c r="C51" i="12" s="1"/>
  <c r="C52" i="12" s="1"/>
  <c r="C53" i="12" s="1"/>
  <c r="C54" i="12" s="1"/>
  <c r="C55" i="12" s="1"/>
  <c r="C56" i="12" s="1"/>
  <c r="C57" i="12" s="1"/>
  <c r="C58" i="12" s="1"/>
  <c r="C59" i="12" s="1"/>
  <c r="C60" i="12" s="1"/>
  <c r="C61" i="12" s="1"/>
  <c r="C62" i="12" s="1"/>
  <c r="C63" i="12" s="1"/>
  <c r="C64" i="12" s="1"/>
  <c r="C65" i="12" s="1"/>
  <c r="C66" i="12" s="1"/>
  <c r="C67" i="12" s="1"/>
  <c r="C68" i="12" s="1"/>
  <c r="C69" i="12" s="1"/>
  <c r="C70" i="12" s="1"/>
  <c r="C71" i="12" s="1"/>
  <c r="C72" i="12" s="1"/>
  <c r="C73" i="12" s="1"/>
  <c r="C74" i="12" s="1"/>
  <c r="C75" i="12" s="1"/>
  <c r="C76" i="12" s="1"/>
  <c r="C77" i="12" s="1"/>
  <c r="C78" i="12" s="1"/>
  <c r="C79" i="12" s="1"/>
  <c r="C80" i="12" s="1"/>
  <c r="C81" i="12" s="1"/>
  <c r="C82" i="12" s="1"/>
  <c r="C83" i="12" s="1"/>
  <c r="C84" i="12" s="1"/>
  <c r="C85" i="12" s="1"/>
  <c r="C86" i="12" s="1"/>
  <c r="C87" i="12" s="1"/>
  <c r="C88" i="12" s="1"/>
  <c r="C89" i="12" s="1"/>
  <c r="C90" i="12" s="1"/>
  <c r="C91" i="12" s="1"/>
  <c r="C92" i="12" s="1"/>
  <c r="C93" i="12" s="1"/>
  <c r="C94" i="12" s="1"/>
  <c r="C95" i="12" s="1"/>
  <c r="C96" i="12" s="1"/>
  <c r="C97" i="12" s="1"/>
  <c r="C98" i="12" s="1"/>
  <c r="C99" i="12" s="1"/>
  <c r="C100" i="12" s="1"/>
  <c r="P12" i="12"/>
  <c r="K11" i="12"/>
  <c r="E11" i="12" s="1"/>
  <c r="H11" i="12" s="1"/>
  <c r="I11" i="12" s="1"/>
  <c r="B21" i="11"/>
  <c r="P8" i="11" s="1"/>
  <c r="B13" i="11"/>
  <c r="B11" i="11"/>
  <c r="C9" i="11"/>
  <c r="C10" i="11" s="1"/>
  <c r="N8" i="11"/>
  <c r="K8" i="11"/>
  <c r="L8" i="11" s="1"/>
  <c r="F8" i="11" s="1"/>
  <c r="H8" i="11"/>
  <c r="J8" i="11" s="1"/>
  <c r="B22" i="12" l="1"/>
  <c r="L11" i="12"/>
  <c r="F12" i="12" s="1"/>
  <c r="G12" i="12" s="1"/>
  <c r="C11" i="1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37" i="11" s="1"/>
  <c r="C38" i="11" s="1"/>
  <c r="C39" i="11" s="1"/>
  <c r="C40" i="11" s="1"/>
  <c r="C41" i="11" s="1"/>
  <c r="C42" i="11" s="1"/>
  <c r="C43" i="11" s="1"/>
  <c r="C44" i="11" s="1"/>
  <c r="C45" i="11" s="1"/>
  <c r="C46" i="11" s="1"/>
  <c r="C47" i="11" s="1"/>
  <c r="C48" i="11" s="1"/>
  <c r="C49" i="11" s="1"/>
  <c r="C50" i="11" s="1"/>
  <c r="C51" i="11" s="1"/>
  <c r="C52" i="11" s="1"/>
  <c r="C53" i="11" s="1"/>
  <c r="C54" i="11" s="1"/>
  <c r="C55" i="11" s="1"/>
  <c r="C56" i="11" s="1"/>
  <c r="C57" i="11" s="1"/>
  <c r="C58" i="11" s="1"/>
  <c r="C59" i="11" s="1"/>
  <c r="C60" i="11" s="1"/>
  <c r="C61" i="11" s="1"/>
  <c r="C62" i="11" s="1"/>
  <c r="C63" i="11" s="1"/>
  <c r="C64" i="11" s="1"/>
  <c r="C65" i="11" s="1"/>
  <c r="C66" i="11" s="1"/>
  <c r="C67" i="11" s="1"/>
  <c r="C68" i="11" s="1"/>
  <c r="C69" i="11" s="1"/>
  <c r="C70" i="11" s="1"/>
  <c r="C71" i="11" s="1"/>
  <c r="C72" i="11" s="1"/>
  <c r="C73" i="11" s="1"/>
  <c r="C74" i="11" s="1"/>
  <c r="C75" i="11" s="1"/>
  <c r="C76" i="11" s="1"/>
  <c r="C77" i="11" s="1"/>
  <c r="C78" i="11" s="1"/>
  <c r="C79" i="11" s="1"/>
  <c r="C80" i="11" s="1"/>
  <c r="C81" i="11" s="1"/>
  <c r="C82" i="11" s="1"/>
  <c r="C83" i="11" s="1"/>
  <c r="C84" i="11" s="1"/>
  <c r="C85" i="11" s="1"/>
  <c r="C86" i="11" s="1"/>
  <c r="C87" i="11" s="1"/>
  <c r="C88" i="11" s="1"/>
  <c r="C89" i="11" s="1"/>
  <c r="C90" i="11" s="1"/>
  <c r="C91" i="11" s="1"/>
  <c r="C92" i="11" s="1"/>
  <c r="C93" i="11" s="1"/>
  <c r="C94" i="11" s="1"/>
  <c r="C95" i="11" s="1"/>
  <c r="C96" i="11" s="1"/>
  <c r="C97" i="11" s="1"/>
  <c r="C98" i="11" s="1"/>
  <c r="C99" i="11" s="1"/>
  <c r="C100" i="11" s="1"/>
  <c r="C101" i="11" s="1"/>
  <c r="C102" i="11" s="1"/>
  <c r="C103" i="11" s="1"/>
  <c r="C104" i="11" s="1"/>
  <c r="C105" i="11" s="1"/>
  <c r="C106" i="11" s="1"/>
  <c r="C107" i="11" s="1"/>
  <c r="D10" i="11"/>
  <c r="M8" i="11"/>
  <c r="E9" i="11" s="1"/>
  <c r="F9" i="11" s="1"/>
  <c r="D9" i="11"/>
  <c r="B18" i="11"/>
  <c r="B22" i="11"/>
  <c r="W19" i="7"/>
  <c r="W18" i="7"/>
  <c r="W17" i="7"/>
  <c r="W16" i="7"/>
  <c r="W15" i="7"/>
  <c r="W14" i="7"/>
  <c r="W13" i="7"/>
  <c r="W12" i="7"/>
  <c r="W11" i="7"/>
  <c r="W10" i="7"/>
  <c r="W9" i="7"/>
  <c r="W8" i="7"/>
  <c r="D15" i="11" l="1"/>
  <c r="E8" i="11"/>
  <c r="D88" i="11"/>
  <c r="D12" i="11"/>
  <c r="D27" i="11"/>
  <c r="D11" i="11"/>
  <c r="D30" i="11"/>
  <c r="D47" i="11"/>
  <c r="D67" i="11"/>
  <c r="D36" i="11"/>
  <c r="D52" i="11"/>
  <c r="D90" i="11"/>
  <c r="D83" i="11"/>
  <c r="D45" i="11"/>
  <c r="D50" i="11"/>
  <c r="D21" i="11"/>
  <c r="D29" i="11"/>
  <c r="D13" i="11"/>
  <c r="D103" i="11"/>
  <c r="D49" i="11"/>
  <c r="D69" i="11"/>
  <c r="D38" i="11"/>
  <c r="D56" i="11"/>
  <c r="D92" i="11"/>
  <c r="D35" i="11"/>
  <c r="D51" i="11"/>
  <c r="D71" i="11"/>
  <c r="D40" i="11"/>
  <c r="D58" i="11"/>
  <c r="D104" i="11"/>
  <c r="D25" i="11"/>
  <c r="D28" i="11"/>
  <c r="D34" i="11"/>
  <c r="D91" i="11"/>
  <c r="D99" i="11"/>
  <c r="D17" i="11"/>
  <c r="D37" i="11"/>
  <c r="D53" i="11"/>
  <c r="D78" i="11"/>
  <c r="D42" i="11"/>
  <c r="D60" i="11"/>
  <c r="D106" i="11"/>
  <c r="D31" i="11"/>
  <c r="D14" i="11"/>
  <c r="D20" i="11"/>
  <c r="D22" i="11"/>
  <c r="D39" i="11"/>
  <c r="D55" i="11"/>
  <c r="D76" i="11"/>
  <c r="D44" i="11"/>
  <c r="D64" i="11"/>
  <c r="D19" i="11"/>
  <c r="D63" i="11"/>
  <c r="D16" i="11"/>
  <c r="D87" i="11"/>
  <c r="D24" i="11"/>
  <c r="D41" i="11"/>
  <c r="D59" i="11"/>
  <c r="D77" i="11"/>
  <c r="D46" i="11"/>
  <c r="D66" i="11"/>
  <c r="D18" i="11"/>
  <c r="D23" i="11"/>
  <c r="D26" i="11"/>
  <c r="D43" i="11"/>
  <c r="D61" i="11"/>
  <c r="D32" i="11"/>
  <c r="D48" i="11"/>
  <c r="D68" i="11"/>
  <c r="G9" i="11"/>
  <c r="I9" i="11" s="1"/>
  <c r="D81" i="11"/>
  <c r="D85" i="11"/>
  <c r="D57" i="11"/>
  <c r="D73" i="11"/>
  <c r="D54" i="11"/>
  <c r="D70" i="11"/>
  <c r="D94" i="11"/>
  <c r="D33" i="11"/>
  <c r="D93" i="11"/>
  <c r="D75" i="11"/>
  <c r="D89" i="11"/>
  <c r="D72" i="11"/>
  <c r="D80" i="11"/>
  <c r="D96" i="11"/>
  <c r="D95" i="11"/>
  <c r="D101" i="11"/>
  <c r="D79" i="11"/>
  <c r="D97" i="11"/>
  <c r="D74" i="11"/>
  <c r="D82" i="11"/>
  <c r="D98" i="11"/>
  <c r="D105" i="11"/>
  <c r="D84" i="11"/>
  <c r="D100" i="11"/>
  <c r="D65" i="11"/>
  <c r="D62" i="11"/>
  <c r="D86" i="11"/>
  <c r="D102" i="11"/>
  <c r="B19" i="11"/>
  <c r="Q8" i="11"/>
  <c r="Q9" i="11" s="1"/>
  <c r="Q10" i="11" s="1"/>
  <c r="Q11" i="11" s="1"/>
  <c r="Q12" i="11" s="1"/>
  <c r="Q13" i="11" s="1"/>
  <c r="Q14" i="11" s="1"/>
  <c r="Q15" i="11" s="1"/>
  <c r="Q16" i="11" s="1"/>
  <c r="Q17" i="11" s="1"/>
  <c r="Q18" i="11" s="1"/>
  <c r="Q19" i="11" s="1"/>
  <c r="Q20" i="11" s="1"/>
  <c r="Q21" i="11" s="1"/>
  <c r="Q22" i="11" s="1"/>
  <c r="Q23" i="11" s="1"/>
  <c r="Q24" i="11" s="1"/>
  <c r="Q25" i="11" s="1"/>
  <c r="Q26" i="11" s="1"/>
  <c r="Q27" i="11" s="1"/>
  <c r="Q28" i="11" s="1"/>
  <c r="Q29" i="11" s="1"/>
  <c r="Q30" i="11" s="1"/>
  <c r="Q31" i="11" s="1"/>
  <c r="Q32" i="11" s="1"/>
  <c r="Q33" i="11" s="1"/>
  <c r="Q34" i="11" s="1"/>
  <c r="Q35" i="11" s="1"/>
  <c r="Q36" i="11" s="1"/>
  <c r="Q37" i="11" s="1"/>
  <c r="Q38" i="11" s="1"/>
  <c r="Q39" i="11" s="1"/>
  <c r="Q40" i="11" s="1"/>
  <c r="Q41" i="11" s="1"/>
  <c r="Q42" i="11" s="1"/>
  <c r="Q43" i="11" s="1"/>
  <c r="Q44" i="11" s="1"/>
  <c r="Q45" i="11" s="1"/>
  <c r="Q46" i="11" s="1"/>
  <c r="Q47" i="11" s="1"/>
  <c r="Q48" i="11" s="1"/>
  <c r="Q49" i="11" s="1"/>
  <c r="Q50" i="11" s="1"/>
  <c r="Q51" i="11" s="1"/>
  <c r="Q52" i="11" s="1"/>
  <c r="Q53" i="11" s="1"/>
  <c r="Q54" i="11" s="1"/>
  <c r="Q55" i="11" s="1"/>
  <c r="Q56" i="11" s="1"/>
  <c r="Q57" i="11" s="1"/>
  <c r="Q58" i="11" s="1"/>
  <c r="Q59" i="11" s="1"/>
  <c r="Q60" i="11" s="1"/>
  <c r="Q61" i="11" s="1"/>
  <c r="Q62" i="11" s="1"/>
  <c r="Q63" i="11" s="1"/>
  <c r="Q64" i="11" s="1"/>
  <c r="Q65" i="11" s="1"/>
  <c r="Q66" i="11" s="1"/>
  <c r="Q67" i="11" s="1"/>
  <c r="Q68" i="11" s="1"/>
  <c r="Q69" i="11" s="1"/>
  <c r="Q70" i="11" s="1"/>
  <c r="Q71" i="11" s="1"/>
  <c r="Q72" i="11" s="1"/>
  <c r="Q73" i="11" s="1"/>
  <c r="Q74" i="11" s="1"/>
  <c r="Q75" i="11" s="1"/>
  <c r="Q76" i="11" s="1"/>
  <c r="Q77" i="11" s="1"/>
  <c r="Q78" i="11" s="1"/>
  <c r="Q79" i="11" s="1"/>
  <c r="Q80" i="11" s="1"/>
  <c r="Q81" i="11" s="1"/>
  <c r="Q82" i="11" s="1"/>
  <c r="Q83" i="11" s="1"/>
  <c r="Q84" i="11" s="1"/>
  <c r="Q85" i="11" s="1"/>
  <c r="Q86" i="11" s="1"/>
  <c r="Q87" i="11" s="1"/>
  <c r="Q88" i="11" s="1"/>
  <c r="Q89" i="11" s="1"/>
  <c r="Q90" i="11" s="1"/>
  <c r="Q91" i="11" s="1"/>
  <c r="Q92" i="11" s="1"/>
  <c r="Q93" i="11" s="1"/>
  <c r="Q94" i="11" s="1"/>
  <c r="Q95" i="11" s="1"/>
  <c r="Q96" i="11" s="1"/>
  <c r="Q97" i="11" s="1"/>
  <c r="Q98" i="11" s="1"/>
  <c r="Q99" i="11" s="1"/>
  <c r="Q100" i="11" s="1"/>
  <c r="Q101" i="11" s="1"/>
  <c r="Q102" i="11" s="1"/>
  <c r="Q103" i="11" s="1"/>
  <c r="Q104" i="11" s="1"/>
  <c r="Q105" i="11" s="1"/>
  <c r="Q106" i="11" s="1"/>
  <c r="Q107" i="11" s="1"/>
  <c r="Q108" i="11" s="1"/>
  <c r="Q109" i="11" s="1"/>
  <c r="Q110" i="11" s="1"/>
  <c r="Q111" i="11" s="1"/>
  <c r="Q112" i="11" s="1"/>
  <c r="Q113" i="11" s="1"/>
  <c r="Q114" i="11" s="1"/>
  <c r="Q115" i="11" s="1"/>
  <c r="Q116" i="11" s="1"/>
  <c r="Q117" i="11" s="1"/>
  <c r="Q118" i="11" s="1"/>
  <c r="Q119" i="11" s="1"/>
  <c r="Q120" i="11" s="1"/>
  <c r="Q121" i="11" s="1"/>
  <c r="Q122" i="11" s="1"/>
  <c r="Q123" i="11" s="1"/>
  <c r="Q124" i="11" s="1"/>
  <c r="Q125" i="11" s="1"/>
  <c r="Q126" i="11" s="1"/>
  <c r="Q127" i="11" s="1"/>
  <c r="Q128" i="11" s="1"/>
  <c r="Q129" i="11" s="1"/>
  <c r="Q130" i="11" s="1"/>
  <c r="Q131" i="11" s="1"/>
  <c r="Q132" i="11" s="1"/>
  <c r="Q133" i="11" s="1"/>
  <c r="Q134" i="11" s="1"/>
  <c r="Q135" i="11" s="1"/>
  <c r="Q136" i="11" s="1"/>
  <c r="Q137" i="11" s="1"/>
  <c r="Q138" i="11" s="1"/>
  <c r="Q139" i="11" s="1"/>
  <c r="Q140" i="11" s="1"/>
  <c r="Q141" i="11" s="1"/>
  <c r="Q142" i="11" s="1"/>
  <c r="Q143" i="11" s="1"/>
  <c r="Q144" i="11" s="1"/>
  <c r="Q145" i="11" s="1"/>
  <c r="Q146" i="11" s="1"/>
  <c r="Q147" i="11" s="1"/>
  <c r="Q148" i="11" s="1"/>
  <c r="Q149" i="11" s="1"/>
  <c r="Q150" i="11" s="1"/>
  <c r="Q151" i="11" s="1"/>
  <c r="Q152" i="11" s="1"/>
  <c r="Q153" i="11" s="1"/>
  <c r="Q154" i="11" s="1"/>
  <c r="Q155" i="11" s="1"/>
  <c r="Q156" i="11" s="1"/>
  <c r="Q157" i="11" s="1"/>
  <c r="Q158" i="11" s="1"/>
  <c r="Q159" i="11" s="1"/>
  <c r="Q160" i="11" s="1"/>
  <c r="Q161" i="11" s="1"/>
  <c r="Q162" i="11" s="1"/>
  <c r="Q163" i="11" s="1"/>
  <c r="Q164" i="11" s="1"/>
  <c r="Q165" i="11" s="1"/>
  <c r="Q166" i="11" s="1"/>
  <c r="C108" i="11"/>
  <c r="D107" i="11"/>
  <c r="L5" i="4"/>
  <c r="M101" i="6"/>
  <c r="M94" i="6"/>
  <c r="M82" i="6"/>
  <c r="M77" i="6"/>
  <c r="M65" i="6"/>
  <c r="M57" i="6"/>
  <c r="F5" i="6"/>
  <c r="M48" i="6"/>
  <c r="M40" i="6"/>
  <c r="M32" i="6"/>
  <c r="M31" i="6"/>
  <c r="B3" i="6"/>
  <c r="M108" i="6" s="1"/>
  <c r="M27" i="6"/>
  <c r="M19" i="6"/>
  <c r="M15" i="6"/>
  <c r="B12" i="6"/>
  <c r="B13" i="6" s="1"/>
  <c r="F152" i="6" s="1"/>
  <c r="B11" i="6"/>
  <c r="G11" i="6" s="1"/>
  <c r="I11" i="6"/>
  <c r="J11" i="6" s="1"/>
  <c r="F12" i="6"/>
  <c r="F13" i="6" s="1"/>
  <c r="F14" i="6" s="1"/>
  <c r="F15" i="6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F36" i="6" s="1"/>
  <c r="F37" i="6" s="1"/>
  <c r="F38" i="6" s="1"/>
  <c r="F39" i="6" s="1"/>
  <c r="F40" i="6" s="1"/>
  <c r="F41" i="6" s="1"/>
  <c r="F42" i="6" s="1"/>
  <c r="F43" i="6" s="1"/>
  <c r="F44" i="6" s="1"/>
  <c r="F45" i="6" s="1"/>
  <c r="F46" i="6" s="1"/>
  <c r="F47" i="6" s="1"/>
  <c r="F48" i="6" s="1"/>
  <c r="F49" i="6" s="1"/>
  <c r="F50" i="6" s="1"/>
  <c r="F51" i="6" s="1"/>
  <c r="F52" i="6" s="1"/>
  <c r="F53" i="6" s="1"/>
  <c r="F54" i="6" s="1"/>
  <c r="F55" i="6" s="1"/>
  <c r="F56" i="6" s="1"/>
  <c r="F57" i="6" s="1"/>
  <c r="F58" i="6" s="1"/>
  <c r="F59" i="6" s="1"/>
  <c r="F60" i="6" s="1"/>
  <c r="F61" i="6" s="1"/>
  <c r="F62" i="6" s="1"/>
  <c r="F63" i="6" s="1"/>
  <c r="F64" i="6" s="1"/>
  <c r="F65" i="6" s="1"/>
  <c r="F66" i="6" s="1"/>
  <c r="F67" i="6" s="1"/>
  <c r="F68" i="6" s="1"/>
  <c r="F69" i="6" s="1"/>
  <c r="F70" i="6" s="1"/>
  <c r="F71" i="6" s="1"/>
  <c r="F72" i="6" s="1"/>
  <c r="F73" i="6" s="1"/>
  <c r="F74" i="6" s="1"/>
  <c r="F75" i="6" s="1"/>
  <c r="F76" i="6" s="1"/>
  <c r="F77" i="6" s="1"/>
  <c r="F78" i="6" s="1"/>
  <c r="F79" i="6" s="1"/>
  <c r="F80" i="6" s="1"/>
  <c r="F81" i="6" s="1"/>
  <c r="F82" i="6" s="1"/>
  <c r="F83" i="6" s="1"/>
  <c r="F84" i="6" s="1"/>
  <c r="F85" i="6" s="1"/>
  <c r="F86" i="6" s="1"/>
  <c r="F87" i="6" s="1"/>
  <c r="F88" i="6" s="1"/>
  <c r="F89" i="6" s="1"/>
  <c r="F90" i="6" s="1"/>
  <c r="F91" i="6" s="1"/>
  <c r="F92" i="6" s="1"/>
  <c r="F93" i="6" s="1"/>
  <c r="F94" i="6" s="1"/>
  <c r="F95" i="6" s="1"/>
  <c r="F96" i="6" s="1"/>
  <c r="F97" i="6" s="1"/>
  <c r="F98" i="6" s="1"/>
  <c r="F99" i="6" s="1"/>
  <c r="F100" i="6" s="1"/>
  <c r="F101" i="6" s="1"/>
  <c r="F102" i="6" s="1"/>
  <c r="F103" i="6" s="1"/>
  <c r="F104" i="6" s="1"/>
  <c r="F105" i="6" s="1"/>
  <c r="F106" i="6" s="1"/>
  <c r="F107" i="6" s="1"/>
  <c r="F108" i="6" s="1"/>
  <c r="F109" i="6" s="1"/>
  <c r="F110" i="6" s="1"/>
  <c r="F111" i="6" s="1"/>
  <c r="B152" i="6"/>
  <c r="B151" i="6"/>
  <c r="B146" i="6"/>
  <c r="F143" i="6"/>
  <c r="L1" i="2"/>
  <c r="L7" i="2"/>
  <c r="Q7" i="2" s="1"/>
  <c r="L6" i="2"/>
  <c r="Q6" i="2" s="1"/>
  <c r="L3" i="2"/>
  <c r="E3" i="2"/>
  <c r="D6" i="2"/>
  <c r="R6" i="2" s="1"/>
  <c r="AA6" i="2" s="1"/>
  <c r="S6" i="2"/>
  <c r="AB6" i="2" s="1"/>
  <c r="I90" i="5"/>
  <c r="C91" i="5"/>
  <c r="I91" i="5" s="1"/>
  <c r="J90" i="5"/>
  <c r="E90" i="5"/>
  <c r="C88" i="5"/>
  <c r="B50" i="3"/>
  <c r="D50" i="3" s="1"/>
  <c r="E50" i="3" s="1"/>
  <c r="O7" i="5"/>
  <c r="P7" i="5" s="1"/>
  <c r="O6" i="5"/>
  <c r="P6" i="5" s="1"/>
  <c r="O5" i="5"/>
  <c r="P5" i="5"/>
  <c r="O4" i="5"/>
  <c r="P4" i="5" s="1"/>
  <c r="T15" i="7"/>
  <c r="T13" i="7"/>
  <c r="D2" i="8"/>
  <c r="E11" i="8"/>
  <c r="F11" i="8" s="1"/>
  <c r="H11" i="8"/>
  <c r="I11" i="8" s="1"/>
  <c r="J11" i="8" s="1"/>
  <c r="K11" i="8"/>
  <c r="L11" i="8" s="1"/>
  <c r="G12" i="8" s="1"/>
  <c r="K12" i="8" s="1"/>
  <c r="L12" i="8" s="1"/>
  <c r="G13" i="8" s="1"/>
  <c r="D12" i="8"/>
  <c r="D13" i="8" s="1"/>
  <c r="H12" i="8"/>
  <c r="I12" i="8" s="1"/>
  <c r="J12" i="8" s="1"/>
  <c r="H13" i="8"/>
  <c r="I13" i="8" s="1"/>
  <c r="J13" i="8" s="1"/>
  <c r="H14" i="8"/>
  <c r="I14" i="8" s="1"/>
  <c r="J14" i="8"/>
  <c r="H15" i="8"/>
  <c r="I15" i="8"/>
  <c r="J15" i="8" s="1"/>
  <c r="H16" i="8"/>
  <c r="I16" i="8" s="1"/>
  <c r="J16" i="8" s="1"/>
  <c r="H17" i="8"/>
  <c r="I17" i="8" s="1"/>
  <c r="J17" i="8" s="1"/>
  <c r="H18" i="8"/>
  <c r="I18" i="8" s="1"/>
  <c r="J18" i="8"/>
  <c r="H19" i="8"/>
  <c r="I19" i="8" s="1"/>
  <c r="J19" i="8" s="1"/>
  <c r="H20" i="8"/>
  <c r="I20" i="8" s="1"/>
  <c r="J20" i="8" s="1"/>
  <c r="H21" i="8"/>
  <c r="I21" i="8" s="1"/>
  <c r="J21" i="8" s="1"/>
  <c r="H22" i="8"/>
  <c r="I22" i="8" s="1"/>
  <c r="J22" i="8" s="1"/>
  <c r="H23" i="8"/>
  <c r="I23" i="8"/>
  <c r="J23" i="8" s="1"/>
  <c r="H24" i="8"/>
  <c r="I24" i="8" s="1"/>
  <c r="J24" i="8" s="1"/>
  <c r="H25" i="8"/>
  <c r="I25" i="8"/>
  <c r="J25" i="8" s="1"/>
  <c r="H26" i="8"/>
  <c r="I26" i="8" s="1"/>
  <c r="J26" i="8"/>
  <c r="H27" i="8"/>
  <c r="I27" i="8" s="1"/>
  <c r="J27" i="8" s="1"/>
  <c r="H28" i="8"/>
  <c r="I28" i="8" s="1"/>
  <c r="J28" i="8" s="1"/>
  <c r="H29" i="8"/>
  <c r="I29" i="8"/>
  <c r="J29" i="8" s="1"/>
  <c r="H32" i="8"/>
  <c r="I32" i="8" s="1"/>
  <c r="J32" i="8" s="1"/>
  <c r="H33" i="8"/>
  <c r="I33" i="8" s="1"/>
  <c r="J33" i="8" s="1"/>
  <c r="H34" i="8"/>
  <c r="I34" i="8" s="1"/>
  <c r="J34" i="8" s="1"/>
  <c r="H35" i="8"/>
  <c r="I35" i="8" s="1"/>
  <c r="J35" i="8" s="1"/>
  <c r="H36" i="8"/>
  <c r="I36" i="8" s="1"/>
  <c r="J36" i="8"/>
  <c r="H37" i="8"/>
  <c r="I37" i="8"/>
  <c r="J37" i="8" s="1"/>
  <c r="H38" i="8"/>
  <c r="I38" i="8" s="1"/>
  <c r="J38" i="8" s="1"/>
  <c r="H39" i="8"/>
  <c r="I39" i="8"/>
  <c r="J39" i="8" s="1"/>
  <c r="H40" i="8"/>
  <c r="I40" i="8" s="1"/>
  <c r="J40" i="8"/>
  <c r="H41" i="8"/>
  <c r="I41" i="8" s="1"/>
  <c r="J41" i="8" s="1"/>
  <c r="H42" i="8"/>
  <c r="I42" i="8" s="1"/>
  <c r="J42" i="8" s="1"/>
  <c r="H43" i="8"/>
  <c r="I43" i="8" s="1"/>
  <c r="J43" i="8" s="1"/>
  <c r="H44" i="8"/>
  <c r="I44" i="8" s="1"/>
  <c r="J44" i="8" s="1"/>
  <c r="H45" i="8"/>
  <c r="I45" i="8"/>
  <c r="J45" i="8" s="1"/>
  <c r="H46" i="8"/>
  <c r="I46" i="8" s="1"/>
  <c r="J46" i="8" s="1"/>
  <c r="H47" i="8"/>
  <c r="I47" i="8" s="1"/>
  <c r="J47" i="8" s="1"/>
  <c r="H48" i="8"/>
  <c r="I48" i="8" s="1"/>
  <c r="J48" i="8"/>
  <c r="H49" i="8"/>
  <c r="I49" i="8"/>
  <c r="J49" i="8" s="1"/>
  <c r="H50" i="8"/>
  <c r="I50" i="8" s="1"/>
  <c r="J50" i="8" s="1"/>
  <c r="H51" i="8"/>
  <c r="I51" i="8" s="1"/>
  <c r="J51" i="8" s="1"/>
  <c r="H52" i="8"/>
  <c r="I52" i="8" s="1"/>
  <c r="J52" i="8" s="1"/>
  <c r="H53" i="8"/>
  <c r="I53" i="8"/>
  <c r="J53" i="8" s="1"/>
  <c r="H54" i="8"/>
  <c r="I54" i="8" s="1"/>
  <c r="J54" i="8" s="1"/>
  <c r="H55" i="8"/>
  <c r="I55" i="8" s="1"/>
  <c r="J55" i="8" s="1"/>
  <c r="H56" i="8"/>
  <c r="I56" i="8" s="1"/>
  <c r="J56" i="8" s="1"/>
  <c r="H57" i="8"/>
  <c r="I57" i="8" s="1"/>
  <c r="J57" i="8" s="1"/>
  <c r="H58" i="8"/>
  <c r="I58" i="8" s="1"/>
  <c r="J58" i="8" s="1"/>
  <c r="F4" i="6"/>
  <c r="B7" i="6"/>
  <c r="F146" i="6" s="1"/>
  <c r="D10" i="5"/>
  <c r="J10" i="5" s="1"/>
  <c r="I10" i="5"/>
  <c r="K10" i="5" s="1"/>
  <c r="C11" i="5"/>
  <c r="I11" i="5" s="1"/>
  <c r="K11" i="5" s="1"/>
  <c r="D6" i="3"/>
  <c r="E6" i="3" s="1"/>
  <c r="F6" i="3"/>
  <c r="C7" i="3"/>
  <c r="F7" i="3" s="1"/>
  <c r="D7" i="3"/>
  <c r="B8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C51" i="3"/>
  <c r="B52" i="3"/>
  <c r="C7" i="2"/>
  <c r="L8" i="2"/>
  <c r="Q8" i="2" s="1"/>
  <c r="D6" i="7"/>
  <c r="F6" i="7"/>
  <c r="G6" i="7" s="1"/>
  <c r="W6" i="7"/>
  <c r="X6" i="7" s="1"/>
  <c r="Y6" i="7"/>
  <c r="Z6" i="7" s="1"/>
  <c r="C7" i="7"/>
  <c r="F7" i="7" s="1"/>
  <c r="G7" i="7" s="1"/>
  <c r="D7" i="7"/>
  <c r="V7" i="7"/>
  <c r="W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G5" i="4"/>
  <c r="H5" i="4"/>
  <c r="Q5" i="4" s="1"/>
  <c r="P5" i="4"/>
  <c r="C6" i="4"/>
  <c r="C7" i="4" s="1"/>
  <c r="C8" i="4" s="1"/>
  <c r="C9" i="4" s="1"/>
  <c r="C10" i="4" s="1"/>
  <c r="B8" i="4"/>
  <c r="B10" i="4"/>
  <c r="B18" i="4"/>
  <c r="N127" i="4" s="1"/>
  <c r="N71" i="4"/>
  <c r="N27" i="4"/>
  <c r="N114" i="4"/>
  <c r="N70" i="4"/>
  <c r="N125" i="4"/>
  <c r="N61" i="4"/>
  <c r="N113" i="4"/>
  <c r="N28" i="4"/>
  <c r="N68" i="4"/>
  <c r="N76" i="4"/>
  <c r="N32" i="4"/>
  <c r="N129" i="4"/>
  <c r="N128" i="4"/>
  <c r="D90" i="5"/>
  <c r="K90" i="5"/>
  <c r="M90" i="5" s="1"/>
  <c r="D7" i="2"/>
  <c r="R7" i="2" s="1"/>
  <c r="T6" i="2"/>
  <c r="AC6" i="2" s="1"/>
  <c r="C8" i="2"/>
  <c r="S8" i="2" s="1"/>
  <c r="S7" i="2"/>
  <c r="AB7" i="2"/>
  <c r="M13" i="6"/>
  <c r="M16" i="6"/>
  <c r="M20" i="6"/>
  <c r="M24" i="6"/>
  <c r="M28" i="6"/>
  <c r="M17" i="6"/>
  <c r="M21" i="6"/>
  <c r="M25" i="6"/>
  <c r="M29" i="6"/>
  <c r="M14" i="6"/>
  <c r="M18" i="6"/>
  <c r="M22" i="6"/>
  <c r="M11" i="6"/>
  <c r="M12" i="6"/>
  <c r="K11" i="6"/>
  <c r="L11" i="6" s="1"/>
  <c r="J12" i="12" l="1"/>
  <c r="K12" i="12" s="1"/>
  <c r="E12" i="12" s="1"/>
  <c r="N12" i="12"/>
  <c r="C8" i="3"/>
  <c r="F8" i="3" s="1"/>
  <c r="E7" i="3"/>
  <c r="G7" i="3" s="1"/>
  <c r="H7" i="3" s="1"/>
  <c r="K7" i="3" s="1"/>
  <c r="AA7" i="2"/>
  <c r="T7" i="2"/>
  <c r="AC7" i="2" s="1"/>
  <c r="E10" i="5"/>
  <c r="F10" i="5" s="1"/>
  <c r="M26" i="6"/>
  <c r="M43" i="6"/>
  <c r="M61" i="6"/>
  <c r="M78" i="6"/>
  <c r="M97" i="6"/>
  <c r="R5" i="4"/>
  <c r="M47" i="6"/>
  <c r="M62" i="6"/>
  <c r="M81" i="6"/>
  <c r="M98" i="6"/>
  <c r="N115" i="4"/>
  <c r="M66" i="6"/>
  <c r="M85" i="6"/>
  <c r="M102" i="6"/>
  <c r="C12" i="5"/>
  <c r="M35" i="6"/>
  <c r="M52" i="6"/>
  <c r="M69" i="6"/>
  <c r="M86" i="6"/>
  <c r="M105" i="6"/>
  <c r="M36" i="6"/>
  <c r="M53" i="6"/>
  <c r="M70" i="6"/>
  <c r="M89" i="6"/>
  <c r="M109" i="6"/>
  <c r="D11" i="5"/>
  <c r="N34" i="4"/>
  <c r="M39" i="6"/>
  <c r="M54" i="6"/>
  <c r="M73" i="6"/>
  <c r="M93" i="6"/>
  <c r="M110" i="6"/>
  <c r="N9" i="11"/>
  <c r="H9" i="11"/>
  <c r="J9" i="11" s="1"/>
  <c r="C109" i="11"/>
  <c r="D108" i="11"/>
  <c r="Y7" i="7"/>
  <c r="Z7" i="7" s="1"/>
  <c r="V8" i="7"/>
  <c r="E7" i="7"/>
  <c r="L7" i="7" s="1"/>
  <c r="M7" i="7" s="1"/>
  <c r="G12" i="6"/>
  <c r="H11" i="6"/>
  <c r="H12" i="6" s="1"/>
  <c r="C11" i="4"/>
  <c r="C12" i="4" s="1"/>
  <c r="D10" i="4"/>
  <c r="AB6" i="7"/>
  <c r="F151" i="6"/>
  <c r="D51" i="3"/>
  <c r="E51" i="3" s="1"/>
  <c r="N44" i="4"/>
  <c r="N9" i="4"/>
  <c r="N56" i="4"/>
  <c r="N57" i="4"/>
  <c r="N17" i="4"/>
  <c r="N104" i="4"/>
  <c r="N53" i="4"/>
  <c r="N117" i="4"/>
  <c r="N30" i="4"/>
  <c r="N66" i="4"/>
  <c r="N106" i="4"/>
  <c r="N23" i="4"/>
  <c r="N67" i="4"/>
  <c r="N107" i="4"/>
  <c r="N84" i="4"/>
  <c r="I6" i="7"/>
  <c r="N20" i="4"/>
  <c r="N80" i="4"/>
  <c r="N69" i="4"/>
  <c r="N74" i="4"/>
  <c r="N75" i="4"/>
  <c r="D91" i="5"/>
  <c r="K91" i="5" s="1"/>
  <c r="E91" i="5"/>
  <c r="F91" i="5" s="1"/>
  <c r="H91" i="5" s="1"/>
  <c r="N64" i="4"/>
  <c r="N73" i="4"/>
  <c r="N120" i="4"/>
  <c r="N89" i="4"/>
  <c r="N49" i="4"/>
  <c r="N13" i="4"/>
  <c r="N77" i="4"/>
  <c r="N10" i="4"/>
  <c r="N42" i="4"/>
  <c r="N82" i="4"/>
  <c r="N122" i="4"/>
  <c r="N39" i="4"/>
  <c r="N83" i="4"/>
  <c r="N123" i="4"/>
  <c r="N52" i="4"/>
  <c r="N6" i="4"/>
  <c r="N119" i="4"/>
  <c r="F90" i="5"/>
  <c r="H90" i="5" s="1"/>
  <c r="N105" i="4"/>
  <c r="N96" i="4"/>
  <c r="N16" i="4"/>
  <c r="N100" i="4"/>
  <c r="N60" i="4"/>
  <c r="N21" i="4"/>
  <c r="N85" i="4"/>
  <c r="N14" i="4"/>
  <c r="N46" i="4"/>
  <c r="N86" i="4"/>
  <c r="N130" i="4"/>
  <c r="N43" i="4"/>
  <c r="N87" i="4"/>
  <c r="C52" i="3"/>
  <c r="D52" i="3" s="1"/>
  <c r="E52" i="3" s="1"/>
  <c r="M44" i="6"/>
  <c r="M58" i="6"/>
  <c r="M74" i="6"/>
  <c r="M90" i="6"/>
  <c r="M106" i="6"/>
  <c r="N97" i="4"/>
  <c r="N40" i="4"/>
  <c r="N38" i="4"/>
  <c r="N118" i="4"/>
  <c r="C92" i="5"/>
  <c r="N24" i="4"/>
  <c r="N116" i="4"/>
  <c r="N25" i="4"/>
  <c r="N112" i="4"/>
  <c r="N72" i="4"/>
  <c r="N29" i="4"/>
  <c r="N93" i="4"/>
  <c r="N18" i="4"/>
  <c r="N50" i="4"/>
  <c r="N90" i="4"/>
  <c r="N7" i="4"/>
  <c r="N51" i="4"/>
  <c r="N91" i="4"/>
  <c r="I5" i="4"/>
  <c r="E5" i="4" s="1"/>
  <c r="E6" i="2"/>
  <c r="N88" i="4"/>
  <c r="N124" i="4"/>
  <c r="N35" i="4"/>
  <c r="G6" i="3"/>
  <c r="E8" i="3"/>
  <c r="G8" i="3" s="1"/>
  <c r="H8" i="3" s="1"/>
  <c r="N41" i="4"/>
  <c r="N65" i="4"/>
  <c r="N12" i="4"/>
  <c r="N36" i="4"/>
  <c r="N121" i="4"/>
  <c r="N81" i="4"/>
  <c r="N37" i="4"/>
  <c r="N101" i="4"/>
  <c r="N22" i="4"/>
  <c r="N54" i="4"/>
  <c r="N98" i="4"/>
  <c r="N11" i="4"/>
  <c r="N55" i="4"/>
  <c r="N99" i="4"/>
  <c r="N108" i="4"/>
  <c r="N33" i="4"/>
  <c r="N48" i="4"/>
  <c r="N8" i="4"/>
  <c r="N92" i="4"/>
  <c r="N45" i="4"/>
  <c r="N109" i="4"/>
  <c r="N26" i="4"/>
  <c r="N58" i="4"/>
  <c r="N102" i="4"/>
  <c r="N19" i="4"/>
  <c r="N59" i="4"/>
  <c r="N103" i="4"/>
  <c r="AB8" i="2"/>
  <c r="C9" i="2"/>
  <c r="E7" i="2"/>
  <c r="D8" i="2"/>
  <c r="E8" i="2" s="1"/>
  <c r="L9" i="2"/>
  <c r="Q9" i="2" s="1"/>
  <c r="K7" i="7"/>
  <c r="K13" i="8"/>
  <c r="L13" i="8" s="1"/>
  <c r="G14" i="8" s="1"/>
  <c r="D12" i="4"/>
  <c r="C13" i="4"/>
  <c r="D11" i="4"/>
  <c r="X7" i="7"/>
  <c r="K6" i="7"/>
  <c r="L6" i="7"/>
  <c r="M6" i="7" s="1"/>
  <c r="B15" i="4"/>
  <c r="D8" i="4"/>
  <c r="D7" i="4"/>
  <c r="D9" i="4"/>
  <c r="D6" i="4"/>
  <c r="H6" i="3"/>
  <c r="N62" i="4"/>
  <c r="N78" i="4"/>
  <c r="N94" i="4"/>
  <c r="N110" i="4"/>
  <c r="N126" i="4"/>
  <c r="N15" i="4"/>
  <c r="N31" i="4"/>
  <c r="N47" i="4"/>
  <c r="N63" i="4"/>
  <c r="N79" i="4"/>
  <c r="N95" i="4"/>
  <c r="N111" i="4"/>
  <c r="C8" i="7"/>
  <c r="E13" i="8"/>
  <c r="F13" i="8" s="1"/>
  <c r="D14" i="8"/>
  <c r="E12" i="8"/>
  <c r="F12" i="8" s="1"/>
  <c r="K50" i="3"/>
  <c r="F50" i="3" s="1"/>
  <c r="G50" i="3" s="1"/>
  <c r="H50" i="3" s="1"/>
  <c r="I50" i="3" s="1"/>
  <c r="J91" i="5"/>
  <c r="M91" i="5" s="1"/>
  <c r="K51" i="3"/>
  <c r="F51" i="3" s="1"/>
  <c r="M33" i="6"/>
  <c r="M37" i="6"/>
  <c r="M41" i="6"/>
  <c r="M45" i="6"/>
  <c r="M49" i="6"/>
  <c r="M55" i="6"/>
  <c r="M59" i="6"/>
  <c r="M63" i="6"/>
  <c r="M67" i="6"/>
  <c r="M71" i="6"/>
  <c r="M75" i="6"/>
  <c r="M79" i="6"/>
  <c r="M83" i="6"/>
  <c r="M87" i="6"/>
  <c r="M91" i="6"/>
  <c r="M95" i="6"/>
  <c r="M99" i="6"/>
  <c r="M103" i="6"/>
  <c r="M107" i="6"/>
  <c r="M111" i="6"/>
  <c r="M23" i="6"/>
  <c r="M30" i="6"/>
  <c r="M34" i="6"/>
  <c r="M38" i="6"/>
  <c r="M42" i="6"/>
  <c r="M46" i="6"/>
  <c r="M50" i="6"/>
  <c r="M51" i="6"/>
  <c r="M56" i="6"/>
  <c r="M60" i="6"/>
  <c r="M64" i="6"/>
  <c r="M68" i="6"/>
  <c r="M72" i="6"/>
  <c r="M76" i="6"/>
  <c r="M80" i="6"/>
  <c r="M84" i="6"/>
  <c r="M88" i="6"/>
  <c r="M92" i="6"/>
  <c r="M96" i="6"/>
  <c r="M100" i="6"/>
  <c r="M104" i="6"/>
  <c r="H12" i="12" l="1"/>
  <c r="I12" i="12" s="1"/>
  <c r="L12" i="12" s="1"/>
  <c r="F13" i="12" s="1"/>
  <c r="G13" i="12" s="1"/>
  <c r="C9" i="3"/>
  <c r="G51" i="3"/>
  <c r="H51" i="3" s="1"/>
  <c r="I51" i="3" s="1"/>
  <c r="I12" i="5"/>
  <c r="K12" i="5" s="1"/>
  <c r="C13" i="5"/>
  <c r="D12" i="5"/>
  <c r="J11" i="5"/>
  <c r="E11" i="5"/>
  <c r="F11" i="5" s="1"/>
  <c r="K52" i="3"/>
  <c r="F52" i="3" s="1"/>
  <c r="G52" i="3" s="1"/>
  <c r="H52" i="3" s="1"/>
  <c r="I52" i="3" s="1"/>
  <c r="I12" i="6"/>
  <c r="R12" i="6"/>
  <c r="C110" i="11"/>
  <c r="D109" i="11"/>
  <c r="K9" i="11"/>
  <c r="L9" i="11" s="1"/>
  <c r="I7" i="7"/>
  <c r="Y8" i="7"/>
  <c r="Z8" i="7" s="1"/>
  <c r="AB8" i="7" s="1"/>
  <c r="V9" i="7"/>
  <c r="X8" i="7"/>
  <c r="AB7" i="7"/>
  <c r="K8" i="3"/>
  <c r="C53" i="3"/>
  <c r="F6" i="2"/>
  <c r="M6" i="2"/>
  <c r="N6" i="2"/>
  <c r="I92" i="5"/>
  <c r="D92" i="5"/>
  <c r="C93" i="5"/>
  <c r="J92" i="5"/>
  <c r="E92" i="5"/>
  <c r="J5" i="4"/>
  <c r="K5" i="4" s="1"/>
  <c r="M5" i="4" s="1"/>
  <c r="F6" i="4" s="1"/>
  <c r="K14" i="8"/>
  <c r="L14" i="8" s="1"/>
  <c r="G15" i="8" s="1"/>
  <c r="K6" i="3"/>
  <c r="O118" i="4"/>
  <c r="O102" i="4"/>
  <c r="O86" i="4"/>
  <c r="O70" i="4"/>
  <c r="O54" i="4"/>
  <c r="O38" i="4"/>
  <c r="O22" i="4"/>
  <c r="O6" i="4"/>
  <c r="O117" i="4"/>
  <c r="O101" i="4"/>
  <c r="O85" i="4"/>
  <c r="O69" i="4"/>
  <c r="O53" i="4"/>
  <c r="O37" i="4"/>
  <c r="O21" i="4"/>
  <c r="O128" i="4"/>
  <c r="O96" i="4"/>
  <c r="O64" i="4"/>
  <c r="O32" i="4"/>
  <c r="O127" i="4"/>
  <c r="O84" i="4"/>
  <c r="O43" i="4"/>
  <c r="O124" i="4"/>
  <c r="O83" i="4"/>
  <c r="O39" i="4"/>
  <c r="O123" i="4"/>
  <c r="O36" i="4"/>
  <c r="O76" i="4"/>
  <c r="O111" i="4"/>
  <c r="O67" i="4"/>
  <c r="O47" i="4"/>
  <c r="O126" i="4"/>
  <c r="O110" i="4"/>
  <c r="O94" i="4"/>
  <c r="O78" i="4"/>
  <c r="O62" i="4"/>
  <c r="O46" i="4"/>
  <c r="O30" i="4"/>
  <c r="O14" i="4"/>
  <c r="O125" i="4"/>
  <c r="O109" i="4"/>
  <c r="O93" i="4"/>
  <c r="O77" i="4"/>
  <c r="O61" i="4"/>
  <c r="O45" i="4"/>
  <c r="O29" i="4"/>
  <c r="O13" i="4"/>
  <c r="O112" i="4"/>
  <c r="O80" i="4"/>
  <c r="O48" i="4"/>
  <c r="O16" i="4"/>
  <c r="O107" i="4"/>
  <c r="O63" i="4"/>
  <c r="O20" i="4"/>
  <c r="O103" i="4"/>
  <c r="O60" i="4"/>
  <c r="O19" i="4"/>
  <c r="O79" i="4"/>
  <c r="O119" i="4"/>
  <c r="O35" i="4"/>
  <c r="O27" i="4"/>
  <c r="O91" i="4"/>
  <c r="B16" i="4"/>
  <c r="O122" i="4"/>
  <c r="O90" i="4"/>
  <c r="O58" i="4"/>
  <c r="O26" i="4"/>
  <c r="O121" i="4"/>
  <c r="O89" i="4"/>
  <c r="O57" i="4"/>
  <c r="O25" i="4"/>
  <c r="O104" i="4"/>
  <c r="O40" i="4"/>
  <c r="O95" i="4"/>
  <c r="O11" i="4"/>
  <c r="O51" i="4"/>
  <c r="O59" i="4"/>
  <c r="O12" i="4"/>
  <c r="O87" i="4"/>
  <c r="O114" i="4"/>
  <c r="O82" i="4"/>
  <c r="O50" i="4"/>
  <c r="O18" i="4"/>
  <c r="O113" i="4"/>
  <c r="O81" i="4"/>
  <c r="O49" i="4"/>
  <c r="O17" i="4"/>
  <c r="O88" i="4"/>
  <c r="O24" i="4"/>
  <c r="O75" i="4"/>
  <c r="O115" i="4"/>
  <c r="O28" i="4"/>
  <c r="O15" i="4"/>
  <c r="O68" i="4"/>
  <c r="O44" i="4"/>
  <c r="O106" i="4"/>
  <c r="O74" i="4"/>
  <c r="O42" i="4"/>
  <c r="O10" i="4"/>
  <c r="O105" i="4"/>
  <c r="O73" i="4"/>
  <c r="O41" i="4"/>
  <c r="O9" i="4"/>
  <c r="O72" i="4"/>
  <c r="O8" i="4"/>
  <c r="O52" i="4"/>
  <c r="O92" i="4"/>
  <c r="O7" i="4"/>
  <c r="O99" i="4"/>
  <c r="O108" i="4"/>
  <c r="O130" i="4"/>
  <c r="O98" i="4"/>
  <c r="O66" i="4"/>
  <c r="O34" i="4"/>
  <c r="O129" i="4"/>
  <c r="O97" i="4"/>
  <c r="O65" i="4"/>
  <c r="O33" i="4"/>
  <c r="O120" i="4"/>
  <c r="O56" i="4"/>
  <c r="O116" i="4"/>
  <c r="O31" i="4"/>
  <c r="O71" i="4"/>
  <c r="O100" i="4"/>
  <c r="O55" i="4"/>
  <c r="O23" i="4"/>
  <c r="C14" i="4"/>
  <c r="D13" i="4"/>
  <c r="N8" i="2"/>
  <c r="F8" i="2"/>
  <c r="M8" i="2"/>
  <c r="R8" i="2"/>
  <c r="D9" i="2"/>
  <c r="E9" i="2" s="1"/>
  <c r="L10" i="2"/>
  <c r="Q10" i="2" s="1"/>
  <c r="C10" i="2"/>
  <c r="S9" i="2"/>
  <c r="L6" i="4"/>
  <c r="P6" i="4"/>
  <c r="E14" i="8"/>
  <c r="F14" i="8" s="1"/>
  <c r="D15" i="8"/>
  <c r="C9" i="7"/>
  <c r="F8" i="7"/>
  <c r="G8" i="7" s="1"/>
  <c r="E8" i="7"/>
  <c r="M7" i="2"/>
  <c r="N7" i="2"/>
  <c r="F7" i="2"/>
  <c r="E9" i="3" l="1"/>
  <c r="C10" i="3"/>
  <c r="F9" i="3"/>
  <c r="G9" i="3" s="1"/>
  <c r="H9" i="3" s="1"/>
  <c r="D13" i="5"/>
  <c r="C14" i="5"/>
  <c r="I13" i="5"/>
  <c r="K13" i="5" s="1"/>
  <c r="J12" i="5"/>
  <c r="E12" i="5"/>
  <c r="F12" i="5" s="1"/>
  <c r="J12" i="6"/>
  <c r="K12" i="6"/>
  <c r="L12" i="6" s="1"/>
  <c r="N12" i="6" s="1"/>
  <c r="O12" i="6" s="1"/>
  <c r="M9" i="11"/>
  <c r="E10" i="11" s="1"/>
  <c r="F10" i="11" s="1"/>
  <c r="C111" i="11"/>
  <c r="D110" i="11"/>
  <c r="V10" i="7"/>
  <c r="Y9" i="7"/>
  <c r="Z9" i="7" s="1"/>
  <c r="X9" i="7"/>
  <c r="G6" i="4"/>
  <c r="AD6" i="2"/>
  <c r="AE6" i="2" s="1"/>
  <c r="AF6" i="2" s="1"/>
  <c r="AG6" i="2" s="1"/>
  <c r="O6" i="2"/>
  <c r="H6" i="4"/>
  <c r="I6" i="4" s="1"/>
  <c r="J6" i="4" s="1"/>
  <c r="K6" i="4" s="1"/>
  <c r="M6" i="4" s="1"/>
  <c r="F7" i="4" s="1"/>
  <c r="G7" i="4" s="1"/>
  <c r="C54" i="3"/>
  <c r="K53" i="3"/>
  <c r="F53" i="3" s="1"/>
  <c r="D53" i="3"/>
  <c r="E53" i="3" s="1"/>
  <c r="F92" i="5"/>
  <c r="H92" i="5" s="1"/>
  <c r="K92" i="5"/>
  <c r="M92" i="5" s="1"/>
  <c r="U6" i="2"/>
  <c r="H6" i="2"/>
  <c r="E6" i="4"/>
  <c r="I93" i="5"/>
  <c r="J93" i="5"/>
  <c r="E93" i="5"/>
  <c r="C94" i="5"/>
  <c r="D93" i="5"/>
  <c r="K15" i="8"/>
  <c r="L15" i="8" s="1"/>
  <c r="G16" i="8" s="1"/>
  <c r="AB9" i="2"/>
  <c r="H7" i="2"/>
  <c r="U7" i="2"/>
  <c r="AD7" i="2"/>
  <c r="AE7" i="2" s="1"/>
  <c r="AF7" i="2" s="1"/>
  <c r="AG7" i="2" s="1"/>
  <c r="O7" i="2"/>
  <c r="L8" i="7"/>
  <c r="M8" i="7" s="1"/>
  <c r="K8" i="7"/>
  <c r="E15" i="8"/>
  <c r="F15" i="8" s="1"/>
  <c r="D16" i="8"/>
  <c r="U8" i="2"/>
  <c r="H8" i="2"/>
  <c r="F9" i="7"/>
  <c r="G9" i="7" s="1"/>
  <c r="C10" i="7"/>
  <c r="E9" i="7"/>
  <c r="G13" i="6"/>
  <c r="P12" i="6"/>
  <c r="H13" i="6" s="1"/>
  <c r="R13" i="6" s="1"/>
  <c r="I8" i="7"/>
  <c r="L11" i="2"/>
  <c r="Q11" i="2" s="1"/>
  <c r="C11" i="2"/>
  <c r="S10" i="2"/>
  <c r="D10" i="2"/>
  <c r="E10" i="2" s="1"/>
  <c r="R9" i="2"/>
  <c r="AA9" i="2" s="1"/>
  <c r="O8" i="2"/>
  <c r="AD8" i="2"/>
  <c r="AE8" i="2" s="1"/>
  <c r="M9" i="2"/>
  <c r="N9" i="2"/>
  <c r="F9" i="2"/>
  <c r="AA8" i="2"/>
  <c r="T8" i="2"/>
  <c r="AC8" i="2" s="1"/>
  <c r="C15" i="4"/>
  <c r="D14" i="4"/>
  <c r="J13" i="12" l="1"/>
  <c r="K13" i="12" s="1"/>
  <c r="E13" i="12" s="1"/>
  <c r="N13" i="12"/>
  <c r="F10" i="3"/>
  <c r="E10" i="3"/>
  <c r="C11" i="3"/>
  <c r="K9" i="3"/>
  <c r="E13" i="5"/>
  <c r="F13" i="5" s="1"/>
  <c r="J13" i="5"/>
  <c r="H7" i="4"/>
  <c r="I7" i="4" s="1"/>
  <c r="I14" i="5"/>
  <c r="K14" i="5" s="1"/>
  <c r="C15" i="5"/>
  <c r="D14" i="5"/>
  <c r="I8" i="2"/>
  <c r="P7" i="4"/>
  <c r="I7" i="2"/>
  <c r="L7" i="4"/>
  <c r="E7" i="4"/>
  <c r="C112" i="11"/>
  <c r="D111" i="11"/>
  <c r="G10" i="11"/>
  <c r="I10" i="11" s="1"/>
  <c r="AB9" i="7"/>
  <c r="X10" i="7"/>
  <c r="Y10" i="7"/>
  <c r="Z10" i="7" s="1"/>
  <c r="AB10" i="7" s="1"/>
  <c r="V11" i="7"/>
  <c r="V6" i="2"/>
  <c r="W6" i="2" s="1"/>
  <c r="X6" i="2" s="1"/>
  <c r="Y6" i="2"/>
  <c r="K54" i="3"/>
  <c r="F54" i="3" s="1"/>
  <c r="D54" i="3"/>
  <c r="E54" i="3" s="1"/>
  <c r="C55" i="3"/>
  <c r="AF8" i="2"/>
  <c r="I9" i="7"/>
  <c r="Q7" i="4"/>
  <c r="R7" i="4" s="1"/>
  <c r="K93" i="5"/>
  <c r="M93" i="5" s="1"/>
  <c r="F93" i="5"/>
  <c r="H93" i="5" s="1"/>
  <c r="C95" i="5"/>
  <c r="I94" i="5"/>
  <c r="J94" i="5"/>
  <c r="D94" i="5"/>
  <c r="E94" i="5"/>
  <c r="G53" i="3"/>
  <c r="H53" i="3" s="1"/>
  <c r="I53" i="3" s="1"/>
  <c r="Q6" i="4"/>
  <c r="R6" i="4" s="1"/>
  <c r="M10" i="2"/>
  <c r="F10" i="2"/>
  <c r="N10" i="2"/>
  <c r="K16" i="8"/>
  <c r="L16" i="8" s="1"/>
  <c r="G17" i="8" s="1"/>
  <c r="C12" i="2"/>
  <c r="S11" i="2"/>
  <c r="L12" i="2"/>
  <c r="Q12" i="2" s="1"/>
  <c r="C16" i="4"/>
  <c r="D15" i="4"/>
  <c r="L9" i="7"/>
  <c r="M9" i="7" s="1"/>
  <c r="K9" i="7"/>
  <c r="V8" i="2"/>
  <c r="W8" i="2" s="1"/>
  <c r="X8" i="2" s="1"/>
  <c r="Y8" i="2"/>
  <c r="V7" i="2"/>
  <c r="W7" i="2" s="1"/>
  <c r="X7" i="2" s="1"/>
  <c r="Y7" i="2"/>
  <c r="J7" i="4"/>
  <c r="K7" i="4" s="1"/>
  <c r="AG8" i="2"/>
  <c r="U9" i="2"/>
  <c r="H9" i="2"/>
  <c r="I9" i="2" s="1"/>
  <c r="F10" i="7"/>
  <c r="G10" i="7" s="1"/>
  <c r="C11" i="7"/>
  <c r="E10" i="7"/>
  <c r="K8" i="2"/>
  <c r="K7" i="2"/>
  <c r="AD9" i="2"/>
  <c r="AE9" i="2" s="1"/>
  <c r="AF9" i="2" s="1"/>
  <c r="O9" i="2"/>
  <c r="D11" i="2"/>
  <c r="E11" i="2" s="1"/>
  <c r="R10" i="2"/>
  <c r="AA10" i="2" s="1"/>
  <c r="AB10" i="2"/>
  <c r="I13" i="6"/>
  <c r="D17" i="8"/>
  <c r="E16" i="8"/>
  <c r="F16" i="8" s="1"/>
  <c r="T9" i="2"/>
  <c r="AC9" i="2" s="1"/>
  <c r="H13" i="12" l="1"/>
  <c r="I13" i="12" s="1"/>
  <c r="L13" i="12" s="1"/>
  <c r="F14" i="12" s="1"/>
  <c r="G14" i="12" s="1"/>
  <c r="F11" i="3"/>
  <c r="E11" i="3"/>
  <c r="G11" i="3" s="1"/>
  <c r="H11" i="3" s="1"/>
  <c r="C12" i="3"/>
  <c r="G10" i="3"/>
  <c r="H10" i="3" s="1"/>
  <c r="E14" i="5"/>
  <c r="F14" i="5" s="1"/>
  <c r="J14" i="5"/>
  <c r="I15" i="5"/>
  <c r="K15" i="5" s="1"/>
  <c r="C16" i="5"/>
  <c r="D15" i="5"/>
  <c r="H10" i="11"/>
  <c r="J10" i="11" s="1"/>
  <c r="N10" i="11"/>
  <c r="C113" i="11"/>
  <c r="D112" i="11"/>
  <c r="Y11" i="7"/>
  <c r="Z11" i="7" s="1"/>
  <c r="AB11" i="7" s="1"/>
  <c r="X11" i="7"/>
  <c r="V12" i="7"/>
  <c r="T10" i="2"/>
  <c r="AC10" i="2" s="1"/>
  <c r="I10" i="7"/>
  <c r="F94" i="5"/>
  <c r="H94" i="5" s="1"/>
  <c r="K94" i="5"/>
  <c r="M94" i="5" s="1"/>
  <c r="AG9" i="2"/>
  <c r="I95" i="5"/>
  <c r="E95" i="5"/>
  <c r="C96" i="5"/>
  <c r="J95" i="5"/>
  <c r="D95" i="5"/>
  <c r="K55" i="3"/>
  <c r="F55" i="3" s="1"/>
  <c r="D55" i="3"/>
  <c r="E55" i="3" s="1"/>
  <c r="G55" i="3" s="1"/>
  <c r="H55" i="3" s="1"/>
  <c r="I55" i="3" s="1"/>
  <c r="C56" i="3"/>
  <c r="G54" i="3"/>
  <c r="H54" i="3" s="1"/>
  <c r="I54" i="3" s="1"/>
  <c r="K17" i="8"/>
  <c r="L17" i="8" s="1"/>
  <c r="G18" i="8" s="1"/>
  <c r="N11" i="2"/>
  <c r="M11" i="2"/>
  <c r="F11" i="2"/>
  <c r="D18" i="8"/>
  <c r="E17" i="8"/>
  <c r="F17" i="8" s="1"/>
  <c r="J13" i="6"/>
  <c r="K13" i="6"/>
  <c r="L13" i="6" s="1"/>
  <c r="K10" i="7"/>
  <c r="L10" i="7"/>
  <c r="M10" i="7" s="1"/>
  <c r="K9" i="2"/>
  <c r="AB11" i="2"/>
  <c r="D12" i="2"/>
  <c r="E12" i="2" s="1"/>
  <c r="R11" i="2"/>
  <c r="AA11" i="2" s="1"/>
  <c r="M7" i="4"/>
  <c r="F8" i="4" s="1"/>
  <c r="E8" i="4"/>
  <c r="D16" i="4"/>
  <c r="C17" i="4"/>
  <c r="C13" i="2"/>
  <c r="S12" i="2"/>
  <c r="L13" i="2"/>
  <c r="Q13" i="2" s="1"/>
  <c r="AD10" i="2"/>
  <c r="AE10" i="2" s="1"/>
  <c r="AF10" i="2" s="1"/>
  <c r="AG10" i="2" s="1"/>
  <c r="O10" i="2"/>
  <c r="V9" i="2"/>
  <c r="W9" i="2" s="1"/>
  <c r="X9" i="2" s="1"/>
  <c r="Y9" i="2"/>
  <c r="F11" i="7"/>
  <c r="G11" i="7" s="1"/>
  <c r="E11" i="7"/>
  <c r="C12" i="7"/>
  <c r="U10" i="2"/>
  <c r="H10" i="2"/>
  <c r="I10" i="2" s="1"/>
  <c r="K10" i="2" s="1"/>
  <c r="N14" i="12" l="1"/>
  <c r="J14" i="12"/>
  <c r="K14" i="12" s="1"/>
  <c r="E14" i="12" s="1"/>
  <c r="K10" i="3"/>
  <c r="F12" i="3"/>
  <c r="E12" i="3"/>
  <c r="G12" i="3" s="1"/>
  <c r="H12" i="3" s="1"/>
  <c r="C13" i="3"/>
  <c r="K11" i="3"/>
  <c r="E15" i="5"/>
  <c r="F15" i="5" s="1"/>
  <c r="J15" i="5"/>
  <c r="C17" i="5"/>
  <c r="I16" i="5"/>
  <c r="K16" i="5" s="1"/>
  <c r="D16" i="5"/>
  <c r="C114" i="11"/>
  <c r="D113" i="11"/>
  <c r="K10" i="11"/>
  <c r="L10" i="11" s="1"/>
  <c r="M10" i="11" s="1"/>
  <c r="E11" i="11" s="1"/>
  <c r="F11" i="11" s="1"/>
  <c r="Y12" i="7"/>
  <c r="Z12" i="7" s="1"/>
  <c r="X12" i="7"/>
  <c r="V13" i="7"/>
  <c r="V14" i="7" s="1"/>
  <c r="F95" i="5"/>
  <c r="H95" i="5" s="1"/>
  <c r="K95" i="5"/>
  <c r="M95" i="5" s="1"/>
  <c r="C97" i="5"/>
  <c r="E96" i="5"/>
  <c r="J96" i="5"/>
  <c r="D96" i="5"/>
  <c r="I96" i="5"/>
  <c r="C57" i="3"/>
  <c r="D56" i="3"/>
  <c r="E56" i="3" s="1"/>
  <c r="K56" i="3"/>
  <c r="F56" i="3" s="1"/>
  <c r="N12" i="2"/>
  <c r="F12" i="2"/>
  <c r="M12" i="2"/>
  <c r="E12" i="7"/>
  <c r="F12" i="7"/>
  <c r="G12" i="7" s="1"/>
  <c r="I12" i="7" s="1"/>
  <c r="C13" i="7"/>
  <c r="AB12" i="2"/>
  <c r="T11" i="2"/>
  <c r="AC11" i="2" s="1"/>
  <c r="N13" i="6"/>
  <c r="O13" i="6" s="1"/>
  <c r="C18" i="4"/>
  <c r="D17" i="4"/>
  <c r="AD11" i="2"/>
  <c r="AE11" i="2" s="1"/>
  <c r="AF11" i="2" s="1"/>
  <c r="AG11" i="2" s="1"/>
  <c r="O11" i="2"/>
  <c r="K11" i="7"/>
  <c r="L11" i="7"/>
  <c r="M11" i="7" s="1"/>
  <c r="R12" i="2"/>
  <c r="AA12" i="2" s="1"/>
  <c r="D13" i="2"/>
  <c r="V10" i="2"/>
  <c r="W10" i="2" s="1"/>
  <c r="X10" i="2" s="1"/>
  <c r="Y10" i="2"/>
  <c r="I11" i="7"/>
  <c r="S13" i="2"/>
  <c r="C14" i="2"/>
  <c r="L14" i="2"/>
  <c r="Q14" i="2" s="1"/>
  <c r="G8" i="4"/>
  <c r="L8" i="4"/>
  <c r="P8" i="4"/>
  <c r="H8" i="4"/>
  <c r="I8" i="4" s="1"/>
  <c r="D19" i="8"/>
  <c r="E18" i="8"/>
  <c r="F18" i="8" s="1"/>
  <c r="U11" i="2"/>
  <c r="H11" i="2"/>
  <c r="I11" i="2" s="1"/>
  <c r="K18" i="8"/>
  <c r="L18" i="8" s="1"/>
  <c r="G19" i="8" s="1"/>
  <c r="H14" i="12" l="1"/>
  <c r="I14" i="12" s="1"/>
  <c r="L14" i="12" s="1"/>
  <c r="F15" i="12" s="1"/>
  <c r="G15" i="12" s="1"/>
  <c r="F13" i="3"/>
  <c r="E13" i="3"/>
  <c r="C14" i="3"/>
  <c r="K12" i="3"/>
  <c r="T12" i="2"/>
  <c r="AC12" i="2" s="1"/>
  <c r="J16" i="5"/>
  <c r="E16" i="5"/>
  <c r="F16" i="5" s="1"/>
  <c r="D17" i="5"/>
  <c r="C18" i="5"/>
  <c r="I17" i="5"/>
  <c r="K17" i="5" s="1"/>
  <c r="G11" i="11"/>
  <c r="I11" i="11" s="1"/>
  <c r="C115" i="11"/>
  <c r="D114" i="11"/>
  <c r="V15" i="7"/>
  <c r="X14" i="7"/>
  <c r="Y14" i="7"/>
  <c r="Z14" i="7" s="1"/>
  <c r="AB14" i="7" s="1"/>
  <c r="X13" i="7"/>
  <c r="Y13" i="7"/>
  <c r="Z13" i="7" s="1"/>
  <c r="AB12" i="7"/>
  <c r="I97" i="5"/>
  <c r="D97" i="5"/>
  <c r="E97" i="5"/>
  <c r="J97" i="5"/>
  <c r="C98" i="5"/>
  <c r="J8" i="4"/>
  <c r="K8" i="4" s="1"/>
  <c r="M8" i="4" s="1"/>
  <c r="F9" i="4" s="1"/>
  <c r="F96" i="5"/>
  <c r="H96" i="5" s="1"/>
  <c r="K96" i="5"/>
  <c r="M96" i="5" s="1"/>
  <c r="G56" i="3"/>
  <c r="H56" i="3" s="1"/>
  <c r="I56" i="3" s="1"/>
  <c r="K57" i="3"/>
  <c r="F57" i="3" s="1"/>
  <c r="D57" i="3"/>
  <c r="E57" i="3" s="1"/>
  <c r="C58" i="3"/>
  <c r="P9" i="4"/>
  <c r="L9" i="4"/>
  <c r="H9" i="4"/>
  <c r="I9" i="4" s="1"/>
  <c r="G9" i="4"/>
  <c r="K19" i="8"/>
  <c r="L19" i="8" s="1"/>
  <c r="G20" i="8" s="1"/>
  <c r="L15" i="2"/>
  <c r="Q15" i="2" s="1"/>
  <c r="S14" i="2"/>
  <c r="C15" i="2"/>
  <c r="D14" i="2"/>
  <c r="E14" i="2" s="1"/>
  <c r="R13" i="2"/>
  <c r="AA13" i="2" s="1"/>
  <c r="G14" i="6"/>
  <c r="P13" i="6"/>
  <c r="H14" i="6" s="1"/>
  <c r="R14" i="6" s="1"/>
  <c r="D20" i="8"/>
  <c r="E19" i="8"/>
  <c r="F19" i="8" s="1"/>
  <c r="Q8" i="4"/>
  <c r="R8" i="4" s="1"/>
  <c r="E13" i="2"/>
  <c r="AB13" i="2"/>
  <c r="T13" i="2"/>
  <c r="AC13" i="2" s="1"/>
  <c r="K12" i="7"/>
  <c r="L12" i="7"/>
  <c r="M12" i="7" s="1"/>
  <c r="U12" i="2"/>
  <c r="H12" i="2"/>
  <c r="I12" i="2" s="1"/>
  <c r="E9" i="4"/>
  <c r="D18" i="4"/>
  <c r="C19" i="4"/>
  <c r="E13" i="7"/>
  <c r="F13" i="7"/>
  <c r="G13" i="7" s="1"/>
  <c r="C14" i="7"/>
  <c r="AD12" i="2"/>
  <c r="AE12" i="2" s="1"/>
  <c r="AF12" i="2" s="1"/>
  <c r="AG12" i="2" s="1"/>
  <c r="O12" i="2"/>
  <c r="K12" i="2"/>
  <c r="V11" i="2"/>
  <c r="W11" i="2" s="1"/>
  <c r="X11" i="2" s="1"/>
  <c r="Y11" i="2"/>
  <c r="K11" i="2"/>
  <c r="J15" i="12" l="1"/>
  <c r="K15" i="12" s="1"/>
  <c r="E15" i="12" s="1"/>
  <c r="N15" i="12"/>
  <c r="E14" i="3"/>
  <c r="F14" i="3"/>
  <c r="C15" i="3"/>
  <c r="G13" i="3"/>
  <c r="H13" i="3" s="1"/>
  <c r="G57" i="3"/>
  <c r="H57" i="3" s="1"/>
  <c r="I57" i="3" s="1"/>
  <c r="C19" i="5"/>
  <c r="D18" i="5"/>
  <c r="I18" i="5"/>
  <c r="K18" i="5" s="1"/>
  <c r="E17" i="5"/>
  <c r="F17" i="5" s="1"/>
  <c r="J17" i="5"/>
  <c r="C116" i="11"/>
  <c r="D115" i="11"/>
  <c r="N11" i="11"/>
  <c r="H11" i="11"/>
  <c r="J11" i="11" s="1"/>
  <c r="V16" i="7"/>
  <c r="X15" i="7"/>
  <c r="Y15" i="7"/>
  <c r="Z15" i="7" s="1"/>
  <c r="AB15" i="7" s="1"/>
  <c r="AB13" i="7"/>
  <c r="C99" i="5"/>
  <c r="J98" i="5"/>
  <c r="E98" i="5"/>
  <c r="D98" i="5"/>
  <c r="I98" i="5"/>
  <c r="J9" i="4"/>
  <c r="K9" i="4" s="1"/>
  <c r="M9" i="4" s="1"/>
  <c r="F10" i="4" s="1"/>
  <c r="G10" i="4" s="1"/>
  <c r="D58" i="3"/>
  <c r="E58" i="3" s="1"/>
  <c r="C59" i="3"/>
  <c r="K58" i="3"/>
  <c r="F58" i="3" s="1"/>
  <c r="K97" i="5"/>
  <c r="M97" i="5" s="1"/>
  <c r="F97" i="5"/>
  <c r="H97" i="5" s="1"/>
  <c r="N14" i="2"/>
  <c r="F14" i="2"/>
  <c r="M14" i="2"/>
  <c r="K20" i="8"/>
  <c r="L20" i="8" s="1"/>
  <c r="G21" i="8" s="1"/>
  <c r="Q9" i="4"/>
  <c r="R9" i="4" s="1"/>
  <c r="E20" i="8"/>
  <c r="F20" i="8" s="1"/>
  <c r="D21" i="8"/>
  <c r="D15" i="2"/>
  <c r="R14" i="2"/>
  <c r="AA14" i="2" s="1"/>
  <c r="AB14" i="2"/>
  <c r="K13" i="7"/>
  <c r="L13" i="7"/>
  <c r="M13" i="7" s="1"/>
  <c r="V12" i="2"/>
  <c r="W12" i="2" s="1"/>
  <c r="X12" i="2" s="1"/>
  <c r="Y12" i="2"/>
  <c r="F14" i="7"/>
  <c r="G14" i="7" s="1"/>
  <c r="E14" i="7"/>
  <c r="C15" i="7"/>
  <c r="C20" i="4"/>
  <c r="D19" i="4"/>
  <c r="M13" i="2"/>
  <c r="F13" i="2"/>
  <c r="N13" i="2"/>
  <c r="I14" i="6"/>
  <c r="S15" i="2"/>
  <c r="L16" i="2"/>
  <c r="Q16" i="2" s="1"/>
  <c r="C16" i="2"/>
  <c r="I13" i="7"/>
  <c r="H15" i="12" l="1"/>
  <c r="I15" i="12" s="1"/>
  <c r="L15" i="12" s="1"/>
  <c r="F16" i="12" s="1"/>
  <c r="G16" i="12" s="1"/>
  <c r="K13" i="3"/>
  <c r="E15" i="3"/>
  <c r="G15" i="3" s="1"/>
  <c r="H15" i="3" s="1"/>
  <c r="F15" i="3"/>
  <c r="C16" i="3"/>
  <c r="G14" i="3"/>
  <c r="H14" i="3" s="1"/>
  <c r="E18" i="5"/>
  <c r="F18" i="5" s="1"/>
  <c r="J18" i="5"/>
  <c r="I19" i="5"/>
  <c r="K19" i="5" s="1"/>
  <c r="C20" i="5"/>
  <c r="D19" i="5"/>
  <c r="C117" i="11"/>
  <c r="D116" i="11"/>
  <c r="K11" i="11"/>
  <c r="L11" i="11" s="1"/>
  <c r="M11" i="11" s="1"/>
  <c r="E12" i="11" s="1"/>
  <c r="F12" i="11" s="1"/>
  <c r="V17" i="7"/>
  <c r="Y16" i="7"/>
  <c r="Z16" i="7" s="1"/>
  <c r="X16" i="7"/>
  <c r="D59" i="3"/>
  <c r="E59" i="3" s="1"/>
  <c r="C60" i="3"/>
  <c r="K59" i="3"/>
  <c r="F59" i="3" s="1"/>
  <c r="L10" i="4"/>
  <c r="H10" i="4"/>
  <c r="I10" i="4" s="1"/>
  <c r="J10" i="4" s="1"/>
  <c r="K10" i="4" s="1"/>
  <c r="K98" i="5"/>
  <c r="M98" i="5" s="1"/>
  <c r="F98" i="5"/>
  <c r="H98" i="5" s="1"/>
  <c r="P10" i="4"/>
  <c r="E10" i="4"/>
  <c r="E11" i="4" s="1"/>
  <c r="G58" i="3"/>
  <c r="H58" i="3" s="1"/>
  <c r="I58" i="3" s="1"/>
  <c r="E99" i="5"/>
  <c r="J99" i="5"/>
  <c r="D99" i="5"/>
  <c r="C100" i="5"/>
  <c r="I99" i="5"/>
  <c r="S16" i="2"/>
  <c r="L17" i="2"/>
  <c r="Q17" i="2" s="1"/>
  <c r="C17" i="2"/>
  <c r="AB15" i="2"/>
  <c r="U13" i="2"/>
  <c r="H13" i="2"/>
  <c r="I13" i="2" s="1"/>
  <c r="L14" i="7"/>
  <c r="M14" i="7" s="1"/>
  <c r="K14" i="7"/>
  <c r="D16" i="2"/>
  <c r="E16" i="2" s="1"/>
  <c r="R15" i="2"/>
  <c r="AA15" i="2" s="1"/>
  <c r="U14" i="2"/>
  <c r="H14" i="2"/>
  <c r="E15" i="2"/>
  <c r="J14" i="6"/>
  <c r="K14" i="6"/>
  <c r="L14" i="6" s="1"/>
  <c r="E21" i="8"/>
  <c r="F21" i="8" s="1"/>
  <c r="D22" i="8"/>
  <c r="C21" i="4"/>
  <c r="D20" i="4"/>
  <c r="I14" i="7"/>
  <c r="T14" i="2"/>
  <c r="AC14" i="2" s="1"/>
  <c r="Q10" i="4"/>
  <c r="R10" i="4" s="1"/>
  <c r="AD13" i="2"/>
  <c r="AE13" i="2" s="1"/>
  <c r="AF13" i="2" s="1"/>
  <c r="AG13" i="2" s="1"/>
  <c r="O13" i="2"/>
  <c r="C16" i="7"/>
  <c r="E15" i="7"/>
  <c r="F15" i="7"/>
  <c r="G15" i="7" s="1"/>
  <c r="M10" i="4"/>
  <c r="F11" i="4" s="1"/>
  <c r="K21" i="8"/>
  <c r="L21" i="8" s="1"/>
  <c r="G22" i="8" s="1"/>
  <c r="AD14" i="2"/>
  <c r="AE14" i="2" s="1"/>
  <c r="AF14" i="2" s="1"/>
  <c r="O14" i="2"/>
  <c r="J16" i="12" l="1"/>
  <c r="K16" i="12" s="1"/>
  <c r="E16" i="12" s="1"/>
  <c r="N16" i="12"/>
  <c r="E16" i="3"/>
  <c r="C17" i="3"/>
  <c r="F16" i="3"/>
  <c r="K15" i="3"/>
  <c r="K14" i="3"/>
  <c r="AB16" i="7"/>
  <c r="E19" i="5"/>
  <c r="F19" i="5" s="1"/>
  <c r="J19" i="5"/>
  <c r="I20" i="5"/>
  <c r="K20" i="5" s="1"/>
  <c r="C21" i="5"/>
  <c r="D20" i="5"/>
  <c r="G12" i="11"/>
  <c r="I12" i="11" s="1"/>
  <c r="C118" i="11"/>
  <c r="D117" i="11"/>
  <c r="V18" i="7"/>
  <c r="X17" i="7"/>
  <c r="Y17" i="7"/>
  <c r="Z17" i="7" s="1"/>
  <c r="I15" i="7"/>
  <c r="I14" i="2"/>
  <c r="I100" i="5"/>
  <c r="E100" i="5"/>
  <c r="D100" i="5"/>
  <c r="C101" i="5"/>
  <c r="J100" i="5"/>
  <c r="AG14" i="2"/>
  <c r="D60" i="3"/>
  <c r="E60" i="3" s="1"/>
  <c r="C61" i="3"/>
  <c r="K60" i="3"/>
  <c r="F60" i="3" s="1"/>
  <c r="K99" i="5"/>
  <c r="M99" i="5" s="1"/>
  <c r="F99" i="5"/>
  <c r="H99" i="5" s="1"/>
  <c r="N14" i="6"/>
  <c r="O14" i="6" s="1"/>
  <c r="G59" i="3"/>
  <c r="H59" i="3" s="1"/>
  <c r="I59" i="3" s="1"/>
  <c r="K22" i="8"/>
  <c r="L22" i="8" s="1"/>
  <c r="G23" i="8" s="1"/>
  <c r="M16" i="2"/>
  <c r="F16" i="2"/>
  <c r="N16" i="2"/>
  <c r="P14" i="6"/>
  <c r="H15" i="6" s="1"/>
  <c r="R15" i="6" s="1"/>
  <c r="G15" i="6"/>
  <c r="V14" i="2"/>
  <c r="W14" i="2" s="1"/>
  <c r="X14" i="2" s="1"/>
  <c r="Y14" i="2"/>
  <c r="L11" i="4"/>
  <c r="H11" i="4"/>
  <c r="I11" i="4" s="1"/>
  <c r="J11" i="4" s="1"/>
  <c r="K11" i="4" s="1"/>
  <c r="G11" i="4"/>
  <c r="P11" i="4"/>
  <c r="L15" i="7"/>
  <c r="M15" i="7" s="1"/>
  <c r="K15" i="7"/>
  <c r="D21" i="4"/>
  <c r="C22" i="4"/>
  <c r="T15" i="2"/>
  <c r="AC15" i="2" s="1"/>
  <c r="R16" i="2"/>
  <c r="AA16" i="2" s="1"/>
  <c r="D17" i="2"/>
  <c r="E16" i="7"/>
  <c r="F16" i="7"/>
  <c r="G16" i="7" s="1"/>
  <c r="C17" i="7"/>
  <c r="D23" i="8"/>
  <c r="E22" i="8"/>
  <c r="F22" i="8" s="1"/>
  <c r="M15" i="2"/>
  <c r="F15" i="2"/>
  <c r="N15" i="2"/>
  <c r="K14" i="2"/>
  <c r="K13" i="2"/>
  <c r="V13" i="2"/>
  <c r="W13" i="2" s="1"/>
  <c r="X13" i="2" s="1"/>
  <c r="Y13" i="2"/>
  <c r="E17" i="2"/>
  <c r="C18" i="2"/>
  <c r="S17" i="2"/>
  <c r="L18" i="2"/>
  <c r="Q18" i="2" s="1"/>
  <c r="T16" i="2"/>
  <c r="AC16" i="2" s="1"/>
  <c r="AB16" i="2"/>
  <c r="H16" i="12" l="1"/>
  <c r="I16" i="12" s="1"/>
  <c r="L16" i="12" s="1"/>
  <c r="F17" i="12" s="1"/>
  <c r="G17" i="12" s="1"/>
  <c r="C18" i="3"/>
  <c r="E17" i="3"/>
  <c r="F17" i="3"/>
  <c r="G16" i="3"/>
  <c r="H16" i="3" s="1"/>
  <c r="J20" i="5"/>
  <c r="E20" i="5"/>
  <c r="F20" i="5" s="1"/>
  <c r="C22" i="5"/>
  <c r="D21" i="5"/>
  <c r="I21" i="5"/>
  <c r="K21" i="5" s="1"/>
  <c r="C119" i="11"/>
  <c r="D118" i="11"/>
  <c r="H12" i="11"/>
  <c r="J12" i="11" s="1"/>
  <c r="N12" i="11"/>
  <c r="V19" i="7"/>
  <c r="X18" i="7"/>
  <c r="Y18" i="7"/>
  <c r="Z18" i="7" s="1"/>
  <c r="AB18" i="7" s="1"/>
  <c r="AB17" i="7"/>
  <c r="I16" i="7"/>
  <c r="D101" i="5"/>
  <c r="J101" i="5"/>
  <c r="E101" i="5"/>
  <c r="C102" i="5"/>
  <c r="I101" i="5"/>
  <c r="K61" i="3"/>
  <c r="F61" i="3" s="1"/>
  <c r="D61" i="3"/>
  <c r="E61" i="3" s="1"/>
  <c r="C62" i="3"/>
  <c r="Q11" i="4"/>
  <c r="R11" i="4" s="1"/>
  <c r="G60" i="3"/>
  <c r="H60" i="3" s="1"/>
  <c r="I60" i="3" s="1"/>
  <c r="K100" i="5"/>
  <c r="M100" i="5" s="1"/>
  <c r="F100" i="5"/>
  <c r="H100" i="5" s="1"/>
  <c r="AB17" i="2"/>
  <c r="D18" i="2"/>
  <c r="E18" i="2" s="1"/>
  <c r="R17" i="2"/>
  <c r="AA17" i="2" s="1"/>
  <c r="AD16" i="2"/>
  <c r="AE16" i="2" s="1"/>
  <c r="AF16" i="2" s="1"/>
  <c r="AG16" i="2" s="1"/>
  <c r="O16" i="2"/>
  <c r="F17" i="7"/>
  <c r="G17" i="7" s="1"/>
  <c r="E17" i="7"/>
  <c r="C18" i="7"/>
  <c r="I15" i="6"/>
  <c r="U16" i="2"/>
  <c r="H16" i="2"/>
  <c r="I16" i="2" s="1"/>
  <c r="C19" i="2"/>
  <c r="S18" i="2"/>
  <c r="L19" i="2"/>
  <c r="Q19" i="2" s="1"/>
  <c r="N17" i="2"/>
  <c r="M17" i="2"/>
  <c r="F17" i="2"/>
  <c r="AD15" i="2"/>
  <c r="AE15" i="2" s="1"/>
  <c r="AF15" i="2" s="1"/>
  <c r="AG15" i="2" s="1"/>
  <c r="O15" i="2"/>
  <c r="D24" i="8"/>
  <c r="E23" i="8"/>
  <c r="F23" i="8" s="1"/>
  <c r="L16" i="7"/>
  <c r="M16" i="7" s="1"/>
  <c r="K16" i="7"/>
  <c r="C23" i="4"/>
  <c r="D22" i="4"/>
  <c r="M11" i="4"/>
  <c r="F12" i="4" s="1"/>
  <c r="E12" i="4"/>
  <c r="U15" i="2"/>
  <c r="H15" i="2"/>
  <c r="I15" i="2" s="1"/>
  <c r="K23" i="8"/>
  <c r="L23" i="8" s="1"/>
  <c r="G24" i="8" s="1"/>
  <c r="J17" i="12" l="1"/>
  <c r="K17" i="12" s="1"/>
  <c r="E17" i="12" s="1"/>
  <c r="N17" i="12"/>
  <c r="K16" i="3"/>
  <c r="G17" i="3"/>
  <c r="H17" i="3" s="1"/>
  <c r="C19" i="3"/>
  <c r="E18" i="3"/>
  <c r="F18" i="3"/>
  <c r="G61" i="3"/>
  <c r="H61" i="3" s="1"/>
  <c r="I61" i="3" s="1"/>
  <c r="E21" i="5"/>
  <c r="F21" i="5" s="1"/>
  <c r="J21" i="5"/>
  <c r="D22" i="5"/>
  <c r="I22" i="5"/>
  <c r="K22" i="5" s="1"/>
  <c r="C23" i="5"/>
  <c r="K12" i="11"/>
  <c r="L12" i="11" s="1"/>
  <c r="C120" i="11"/>
  <c r="D119" i="11"/>
  <c r="Y19" i="7"/>
  <c r="Z19" i="7" s="1"/>
  <c r="X19" i="7"/>
  <c r="T17" i="2"/>
  <c r="AC17" i="2" s="1"/>
  <c r="I102" i="5"/>
  <c r="C103" i="5"/>
  <c r="E102" i="5"/>
  <c r="J102" i="5"/>
  <c r="D102" i="5"/>
  <c r="D62" i="3"/>
  <c r="E62" i="3" s="1"/>
  <c r="C63" i="3"/>
  <c r="K62" i="3"/>
  <c r="F62" i="3" s="1"/>
  <c r="K101" i="5"/>
  <c r="M101" i="5" s="1"/>
  <c r="F101" i="5"/>
  <c r="H101" i="5" s="1"/>
  <c r="M18" i="2"/>
  <c r="N18" i="2"/>
  <c r="F18" i="2"/>
  <c r="D23" i="4"/>
  <c r="C24" i="4"/>
  <c r="G12" i="4"/>
  <c r="P12" i="4"/>
  <c r="L12" i="4"/>
  <c r="H12" i="4"/>
  <c r="I12" i="4" s="1"/>
  <c r="E24" i="8"/>
  <c r="F24" i="8" s="1"/>
  <c r="D25" i="8"/>
  <c r="C20" i="2"/>
  <c r="S19" i="2"/>
  <c r="L20" i="2"/>
  <c r="Q20" i="2" s="1"/>
  <c r="K17" i="2"/>
  <c r="K16" i="2"/>
  <c r="AD17" i="2"/>
  <c r="AE17" i="2" s="1"/>
  <c r="AF17" i="2" s="1"/>
  <c r="O17" i="2"/>
  <c r="V16" i="2"/>
  <c r="W16" i="2" s="1"/>
  <c r="X16" i="2" s="1"/>
  <c r="Y16" i="2"/>
  <c r="C19" i="7"/>
  <c r="F18" i="7"/>
  <c r="G18" i="7" s="1"/>
  <c r="E18" i="7"/>
  <c r="J15" i="6"/>
  <c r="K15" i="6"/>
  <c r="L15" i="6" s="1"/>
  <c r="N15" i="6" s="1"/>
  <c r="O15" i="6" s="1"/>
  <c r="L17" i="7"/>
  <c r="M17" i="7" s="1"/>
  <c r="K17" i="7"/>
  <c r="K24" i="8"/>
  <c r="L24" i="8" s="1"/>
  <c r="G25" i="8" s="1"/>
  <c r="U17" i="2"/>
  <c r="H17" i="2"/>
  <c r="I17" i="2" s="1"/>
  <c r="AB18" i="2"/>
  <c r="I17" i="7"/>
  <c r="V15" i="2"/>
  <c r="W15" i="2" s="1"/>
  <c r="X15" i="2" s="1"/>
  <c r="Y15" i="2"/>
  <c r="D19" i="2"/>
  <c r="E19" i="2" s="1"/>
  <c r="R18" i="2"/>
  <c r="AA18" i="2" s="1"/>
  <c r="M12" i="11" l="1"/>
  <c r="E13" i="11" s="1"/>
  <c r="F13" i="11" s="1"/>
  <c r="G13" i="11" s="1"/>
  <c r="I13" i="11" s="1"/>
  <c r="H17" i="12"/>
  <c r="I17" i="12" s="1"/>
  <c r="L17" i="12" s="1"/>
  <c r="F18" i="12" s="1"/>
  <c r="G18" i="12" s="1"/>
  <c r="G18" i="3"/>
  <c r="H18" i="3" s="1"/>
  <c r="E19" i="3"/>
  <c r="C20" i="3"/>
  <c r="F19" i="3"/>
  <c r="K17" i="3"/>
  <c r="C24" i="5"/>
  <c r="I23" i="5"/>
  <c r="K23" i="5" s="1"/>
  <c r="D23" i="5"/>
  <c r="AG17" i="2"/>
  <c r="J22" i="5"/>
  <c r="E22" i="5"/>
  <c r="F22" i="5" s="1"/>
  <c r="J12" i="4"/>
  <c r="K12" i="4" s="1"/>
  <c r="E13" i="4" s="1"/>
  <c r="C121" i="11"/>
  <c r="D120" i="11"/>
  <c r="AB19" i="7"/>
  <c r="K63" i="3"/>
  <c r="F63" i="3" s="1"/>
  <c r="C64" i="3"/>
  <c r="D63" i="3"/>
  <c r="E63" i="3" s="1"/>
  <c r="Q12" i="4"/>
  <c r="R12" i="4" s="1"/>
  <c r="G62" i="3"/>
  <c r="H62" i="3" s="1"/>
  <c r="I62" i="3" s="1"/>
  <c r="I18" i="7"/>
  <c r="I103" i="5"/>
  <c r="E103" i="5"/>
  <c r="C104" i="5"/>
  <c r="J103" i="5"/>
  <c r="D103" i="5"/>
  <c r="K102" i="5"/>
  <c r="M102" i="5" s="1"/>
  <c r="F102" i="5"/>
  <c r="H102" i="5" s="1"/>
  <c r="K25" i="8"/>
  <c r="L25" i="8" s="1"/>
  <c r="G26" i="8" s="1"/>
  <c r="T18" i="2"/>
  <c r="AC18" i="2" s="1"/>
  <c r="E19" i="7"/>
  <c r="F19" i="7"/>
  <c r="G19" i="7" s="1"/>
  <c r="C20" i="7"/>
  <c r="P15" i="6"/>
  <c r="H16" i="6" s="1"/>
  <c r="R16" i="6" s="1"/>
  <c r="G16" i="6"/>
  <c r="U18" i="2"/>
  <c r="H18" i="2"/>
  <c r="I18" i="2" s="1"/>
  <c r="F19" i="2"/>
  <c r="M19" i="2"/>
  <c r="N19" i="2"/>
  <c r="D20" i="2"/>
  <c r="E20" i="2" s="1"/>
  <c r="R19" i="2"/>
  <c r="AA19" i="2" s="1"/>
  <c r="L18" i="7"/>
  <c r="M18" i="7" s="1"/>
  <c r="K18" i="7"/>
  <c r="AB19" i="2"/>
  <c r="D26" i="8"/>
  <c r="E25" i="8"/>
  <c r="F25" i="8" s="1"/>
  <c r="AD18" i="2"/>
  <c r="AE18" i="2" s="1"/>
  <c r="AF18" i="2" s="1"/>
  <c r="O18" i="2"/>
  <c r="V17" i="2"/>
  <c r="W17" i="2" s="1"/>
  <c r="X17" i="2" s="1"/>
  <c r="Y17" i="2"/>
  <c r="S20" i="2"/>
  <c r="L21" i="2"/>
  <c r="Q21" i="2" s="1"/>
  <c r="C21" i="2"/>
  <c r="C25" i="4"/>
  <c r="D24" i="4"/>
  <c r="J18" i="12" l="1"/>
  <c r="K18" i="12" s="1"/>
  <c r="E18" i="12" s="1"/>
  <c r="N18" i="12"/>
  <c r="E20" i="3"/>
  <c r="C21" i="3"/>
  <c r="F20" i="3"/>
  <c r="G19" i="3"/>
  <c r="H19" i="3" s="1"/>
  <c r="K18" i="3"/>
  <c r="M12" i="4"/>
  <c r="F13" i="4" s="1"/>
  <c r="G63" i="3"/>
  <c r="H63" i="3" s="1"/>
  <c r="I63" i="3" s="1"/>
  <c r="J23" i="5"/>
  <c r="E23" i="5"/>
  <c r="F23" i="5" s="1"/>
  <c r="C25" i="5"/>
  <c r="I24" i="5"/>
  <c r="K24" i="5" s="1"/>
  <c r="D24" i="5"/>
  <c r="H13" i="11"/>
  <c r="J13" i="11" s="1"/>
  <c r="N13" i="11"/>
  <c r="C122" i="11"/>
  <c r="D121" i="11"/>
  <c r="I104" i="5"/>
  <c r="J104" i="5"/>
  <c r="D104" i="5"/>
  <c r="C105" i="5"/>
  <c r="E104" i="5"/>
  <c r="T19" i="2"/>
  <c r="AC19" i="2" s="1"/>
  <c r="AG18" i="2"/>
  <c r="K64" i="3"/>
  <c r="F64" i="3" s="1"/>
  <c r="C65" i="3"/>
  <c r="D64" i="3"/>
  <c r="E64" i="3" s="1"/>
  <c r="I19" i="7"/>
  <c r="K103" i="5"/>
  <c r="M103" i="5" s="1"/>
  <c r="F103" i="5"/>
  <c r="H103" i="5" s="1"/>
  <c r="K26" i="8"/>
  <c r="L26" i="8" s="1"/>
  <c r="G27" i="8" s="1"/>
  <c r="L22" i="2"/>
  <c r="Q22" i="2" s="1"/>
  <c r="S21" i="2"/>
  <c r="C22" i="2"/>
  <c r="AB20" i="2"/>
  <c r="U19" i="2"/>
  <c r="H19" i="2"/>
  <c r="I19" i="2" s="1"/>
  <c r="K19" i="2" s="1"/>
  <c r="E20" i="7"/>
  <c r="C21" i="7"/>
  <c r="F20" i="7"/>
  <c r="G20" i="7" s="1"/>
  <c r="I20" i="7" s="1"/>
  <c r="M20" i="2"/>
  <c r="N20" i="2"/>
  <c r="F20" i="2"/>
  <c r="D21" i="2"/>
  <c r="E21" i="2" s="1"/>
  <c r="R20" i="2"/>
  <c r="AA20" i="2" s="1"/>
  <c r="V18" i="2"/>
  <c r="W18" i="2" s="1"/>
  <c r="X18" i="2" s="1"/>
  <c r="Y18" i="2"/>
  <c r="E26" i="8"/>
  <c r="F26" i="8" s="1"/>
  <c r="D27" i="8"/>
  <c r="AD19" i="2"/>
  <c r="AE19" i="2" s="1"/>
  <c r="AF19" i="2" s="1"/>
  <c r="O19" i="2"/>
  <c r="H13" i="4"/>
  <c r="I13" i="4" s="1"/>
  <c r="G13" i="4"/>
  <c r="L13" i="4"/>
  <c r="P13" i="4"/>
  <c r="D25" i="4"/>
  <c r="C26" i="4"/>
  <c r="K18" i="2"/>
  <c r="I16" i="6"/>
  <c r="K19" i="7"/>
  <c r="L19" i="7"/>
  <c r="M19" i="7" s="1"/>
  <c r="H18" i="12" l="1"/>
  <c r="I18" i="12" s="1"/>
  <c r="L18" i="12" s="1"/>
  <c r="F19" i="12" s="1"/>
  <c r="G19" i="12" s="1"/>
  <c r="K19" i="3"/>
  <c r="E21" i="3"/>
  <c r="F21" i="3"/>
  <c r="C22" i="3"/>
  <c r="G20" i="3"/>
  <c r="H20" i="3" s="1"/>
  <c r="J24" i="5"/>
  <c r="E24" i="5"/>
  <c r="F24" i="5" s="1"/>
  <c r="C26" i="5"/>
  <c r="I25" i="5"/>
  <c r="K25" i="5" s="1"/>
  <c r="D25" i="5"/>
  <c r="C123" i="11"/>
  <c r="D122" i="11"/>
  <c r="K13" i="11"/>
  <c r="L13" i="11" s="1"/>
  <c r="G64" i="3"/>
  <c r="H64" i="3" s="1"/>
  <c r="I64" i="3" s="1"/>
  <c r="K65" i="3"/>
  <c r="F65" i="3" s="1"/>
  <c r="D65" i="3"/>
  <c r="E65" i="3" s="1"/>
  <c r="C66" i="3"/>
  <c r="F104" i="5"/>
  <c r="H104" i="5" s="1"/>
  <c r="K104" i="5"/>
  <c r="M104" i="5" s="1"/>
  <c r="J13" i="4"/>
  <c r="K13" i="4" s="1"/>
  <c r="C106" i="5"/>
  <c r="I105" i="5"/>
  <c r="D105" i="5"/>
  <c r="E105" i="5"/>
  <c r="J105" i="5"/>
  <c r="AG19" i="2"/>
  <c r="K27" i="8"/>
  <c r="L27" i="8" s="1"/>
  <c r="G28" i="8" s="1"/>
  <c r="F21" i="2"/>
  <c r="N21" i="2"/>
  <c r="M21" i="2"/>
  <c r="M13" i="4"/>
  <c r="F14" i="4" s="1"/>
  <c r="E14" i="4"/>
  <c r="C27" i="4"/>
  <c r="D26" i="4"/>
  <c r="U20" i="2"/>
  <c r="H20" i="2"/>
  <c r="I20" i="2" s="1"/>
  <c r="L20" i="7"/>
  <c r="M20" i="7" s="1"/>
  <c r="K20" i="7"/>
  <c r="AB21" i="2"/>
  <c r="V19" i="2"/>
  <c r="W19" i="2" s="1"/>
  <c r="X19" i="2" s="1"/>
  <c r="Y19" i="2"/>
  <c r="AD20" i="2"/>
  <c r="AE20" i="2" s="1"/>
  <c r="AF20" i="2" s="1"/>
  <c r="O20" i="2"/>
  <c r="K16" i="6"/>
  <c r="L16" i="6" s="1"/>
  <c r="J16" i="6"/>
  <c r="Q13" i="4"/>
  <c r="R13" i="4" s="1"/>
  <c r="D22" i="2"/>
  <c r="E22" i="2" s="1"/>
  <c r="R21" i="2"/>
  <c r="AA21" i="2" s="1"/>
  <c r="F21" i="7"/>
  <c r="G21" i="7" s="1"/>
  <c r="E21" i="7"/>
  <c r="C22" i="7"/>
  <c r="D28" i="8"/>
  <c r="E27" i="8"/>
  <c r="F27" i="8" s="1"/>
  <c r="T20" i="2"/>
  <c r="AC20" i="2" s="1"/>
  <c r="S22" i="2"/>
  <c r="L23" i="2"/>
  <c r="Q23" i="2" s="1"/>
  <c r="C23" i="2"/>
  <c r="M13" i="11" l="1"/>
  <c r="E14" i="11" s="1"/>
  <c r="F14" i="11" s="1"/>
  <c r="G14" i="11" s="1"/>
  <c r="I14" i="11" s="1"/>
  <c r="J19" i="12"/>
  <c r="K19" i="12" s="1"/>
  <c r="E19" i="12" s="1"/>
  <c r="N19" i="12"/>
  <c r="K20" i="3"/>
  <c r="C23" i="3"/>
  <c r="E22" i="3"/>
  <c r="F22" i="3"/>
  <c r="G21" i="3"/>
  <c r="H21" i="3" s="1"/>
  <c r="G65" i="3"/>
  <c r="H65" i="3" s="1"/>
  <c r="I65" i="3" s="1"/>
  <c r="E25" i="5"/>
  <c r="F25" i="5" s="1"/>
  <c r="J25" i="5"/>
  <c r="C27" i="5"/>
  <c r="I26" i="5"/>
  <c r="K26" i="5" s="1"/>
  <c r="D26" i="5"/>
  <c r="C124" i="11"/>
  <c r="D123" i="11"/>
  <c r="I21" i="7"/>
  <c r="D66" i="3"/>
  <c r="E66" i="3" s="1"/>
  <c r="K66" i="3"/>
  <c r="F66" i="3" s="1"/>
  <c r="C67" i="3"/>
  <c r="K105" i="5"/>
  <c r="M105" i="5" s="1"/>
  <c r="F105" i="5"/>
  <c r="H105" i="5" s="1"/>
  <c r="I106" i="5"/>
  <c r="C107" i="5"/>
  <c r="J106" i="5"/>
  <c r="E106" i="5"/>
  <c r="D106" i="5"/>
  <c r="C24" i="2"/>
  <c r="S23" i="2"/>
  <c r="L24" i="2"/>
  <c r="Q24" i="2" s="1"/>
  <c r="E28" i="8"/>
  <c r="F28" i="8" s="1"/>
  <c r="D29" i="8"/>
  <c r="C28" i="4"/>
  <c r="D27" i="4"/>
  <c r="K28" i="8"/>
  <c r="L28" i="8" s="1"/>
  <c r="G29" i="8" s="1"/>
  <c r="AB22" i="2"/>
  <c r="F22" i="7"/>
  <c r="G22" i="7" s="1"/>
  <c r="C23" i="7"/>
  <c r="E22" i="7"/>
  <c r="T21" i="2"/>
  <c r="AC21" i="2" s="1"/>
  <c r="AD21" i="2"/>
  <c r="AE21" i="2" s="1"/>
  <c r="AF21" i="2" s="1"/>
  <c r="AG21" i="2" s="1"/>
  <c r="O21" i="2"/>
  <c r="U21" i="2"/>
  <c r="H21" i="2"/>
  <c r="I21" i="2" s="1"/>
  <c r="F22" i="2"/>
  <c r="M22" i="2"/>
  <c r="N22" i="2"/>
  <c r="L21" i="7"/>
  <c r="M21" i="7" s="1"/>
  <c r="K21" i="7"/>
  <c r="D23" i="2"/>
  <c r="R22" i="2"/>
  <c r="AA22" i="2" s="1"/>
  <c r="N16" i="6"/>
  <c r="O16" i="6" s="1"/>
  <c r="AG20" i="2"/>
  <c r="K20" i="2"/>
  <c r="V20" i="2"/>
  <c r="W20" i="2" s="1"/>
  <c r="X20" i="2" s="1"/>
  <c r="Y20" i="2"/>
  <c r="H14" i="4"/>
  <c r="I14" i="4" s="1"/>
  <c r="P14" i="4"/>
  <c r="L14" i="4"/>
  <c r="G14" i="4"/>
  <c r="H19" i="12" l="1"/>
  <c r="I19" i="12" s="1"/>
  <c r="L19" i="12" s="1"/>
  <c r="F20" i="12" s="1"/>
  <c r="K21" i="3"/>
  <c r="C24" i="3"/>
  <c r="E23" i="3"/>
  <c r="F23" i="3"/>
  <c r="G22" i="3"/>
  <c r="H22" i="3" s="1"/>
  <c r="J26" i="5"/>
  <c r="E26" i="5"/>
  <c r="F26" i="5" s="1"/>
  <c r="D27" i="5"/>
  <c r="C28" i="5"/>
  <c r="I27" i="5"/>
  <c r="K27" i="5" s="1"/>
  <c r="C125" i="11"/>
  <c r="D124" i="11"/>
  <c r="H14" i="11"/>
  <c r="J14" i="11" s="1"/>
  <c r="N14" i="11"/>
  <c r="G66" i="3"/>
  <c r="H66" i="3" s="1"/>
  <c r="I66" i="3" s="1"/>
  <c r="Q14" i="4"/>
  <c r="R14" i="4" s="1"/>
  <c r="J107" i="5"/>
  <c r="E107" i="5"/>
  <c r="I107" i="5"/>
  <c r="C108" i="5"/>
  <c r="D107" i="5"/>
  <c r="F106" i="5"/>
  <c r="H106" i="5" s="1"/>
  <c r="K106" i="5"/>
  <c r="M106" i="5" s="1"/>
  <c r="D67" i="3"/>
  <c r="E67" i="3" s="1"/>
  <c r="C68" i="3"/>
  <c r="K67" i="3"/>
  <c r="F67" i="3" s="1"/>
  <c r="K22" i="7"/>
  <c r="L22" i="7"/>
  <c r="M22" i="7" s="1"/>
  <c r="K29" i="8"/>
  <c r="L29" i="8" s="1"/>
  <c r="G32" i="8" s="1"/>
  <c r="S24" i="2"/>
  <c r="C25" i="2"/>
  <c r="L25" i="2"/>
  <c r="Q25" i="2" s="1"/>
  <c r="D24" i="2"/>
  <c r="E24" i="2" s="1"/>
  <c r="R23" i="2"/>
  <c r="AA23" i="2" s="1"/>
  <c r="AD22" i="2"/>
  <c r="AE22" i="2" s="1"/>
  <c r="AF22" i="2" s="1"/>
  <c r="O22" i="2"/>
  <c r="V21" i="2"/>
  <c r="W21" i="2" s="1"/>
  <c r="X21" i="2" s="1"/>
  <c r="Y21" i="2"/>
  <c r="D28" i="4"/>
  <c r="C29" i="4"/>
  <c r="AB23" i="2"/>
  <c r="F23" i="7"/>
  <c r="G23" i="7" s="1"/>
  <c r="C24" i="7"/>
  <c r="E23" i="7"/>
  <c r="T22" i="2"/>
  <c r="AC22" i="2" s="1"/>
  <c r="J14" i="4"/>
  <c r="K14" i="4" s="1"/>
  <c r="G17" i="6"/>
  <c r="P16" i="6"/>
  <c r="H17" i="6" s="1"/>
  <c r="R17" i="6" s="1"/>
  <c r="U22" i="2"/>
  <c r="H22" i="2"/>
  <c r="I22" i="2" s="1"/>
  <c r="K21" i="2"/>
  <c r="I22" i="7"/>
  <c r="E23" i="2"/>
  <c r="E29" i="8"/>
  <c r="F29" i="8" s="1"/>
  <c r="D30" i="8"/>
  <c r="G20" i="12" l="1"/>
  <c r="J20" i="12" s="1"/>
  <c r="K20" i="12" s="1"/>
  <c r="E20" i="12" s="1"/>
  <c r="H20" i="12" s="1"/>
  <c r="F24" i="3"/>
  <c r="E24" i="3"/>
  <c r="G24" i="3" s="1"/>
  <c r="H24" i="3" s="1"/>
  <c r="C25" i="3"/>
  <c r="K22" i="3"/>
  <c r="G23" i="3"/>
  <c r="H23" i="3" s="1"/>
  <c r="D28" i="5"/>
  <c r="I28" i="5"/>
  <c r="K28" i="5" s="1"/>
  <c r="C29" i="5"/>
  <c r="G67" i="3"/>
  <c r="H67" i="3" s="1"/>
  <c r="I67" i="3" s="1"/>
  <c r="E27" i="5"/>
  <c r="F27" i="5" s="1"/>
  <c r="J27" i="5"/>
  <c r="K14" i="11"/>
  <c r="L14" i="11" s="1"/>
  <c r="C126" i="11"/>
  <c r="D125" i="11"/>
  <c r="K107" i="5"/>
  <c r="M107" i="5" s="1"/>
  <c r="F107" i="5"/>
  <c r="H107" i="5" s="1"/>
  <c r="I23" i="7"/>
  <c r="I108" i="5"/>
  <c r="D108" i="5"/>
  <c r="C109" i="5"/>
  <c r="E108" i="5"/>
  <c r="J108" i="5"/>
  <c r="C69" i="3"/>
  <c r="D68" i="3"/>
  <c r="E68" i="3" s="1"/>
  <c r="K68" i="3"/>
  <c r="F68" i="3" s="1"/>
  <c r="N24" i="2"/>
  <c r="M24" i="2"/>
  <c r="F24" i="2"/>
  <c r="K32" i="8"/>
  <c r="L32" i="8" s="1"/>
  <c r="G33" i="8" s="1"/>
  <c r="L23" i="7"/>
  <c r="M23" i="7" s="1"/>
  <c r="K23" i="7"/>
  <c r="E24" i="7"/>
  <c r="F24" i="7"/>
  <c r="G24" i="7" s="1"/>
  <c r="C25" i="7"/>
  <c r="D29" i="4"/>
  <c r="C30" i="4"/>
  <c r="AG22" i="2"/>
  <c r="D31" i="8"/>
  <c r="E30" i="8"/>
  <c r="F30" i="8" s="1"/>
  <c r="M14" i="4"/>
  <c r="F15" i="4" s="1"/>
  <c r="E15" i="4"/>
  <c r="L26" i="2"/>
  <c r="Q26" i="2" s="1"/>
  <c r="E25" i="2"/>
  <c r="C26" i="2"/>
  <c r="S25" i="2"/>
  <c r="T23" i="2"/>
  <c r="AC23" i="2" s="1"/>
  <c r="D25" i="2"/>
  <c r="R24" i="2"/>
  <c r="AA24" i="2" s="1"/>
  <c r="AB24" i="2"/>
  <c r="K22" i="2"/>
  <c r="V22" i="2"/>
  <c r="W22" i="2" s="1"/>
  <c r="X22" i="2" s="1"/>
  <c r="Y22" i="2"/>
  <c r="N23" i="2"/>
  <c r="F23" i="2"/>
  <c r="M23" i="2"/>
  <c r="I17" i="6"/>
  <c r="N20" i="12" l="1"/>
  <c r="I20" i="12"/>
  <c r="L20" i="12" s="1"/>
  <c r="K23" i="3"/>
  <c r="C26" i="3"/>
  <c r="F25" i="3"/>
  <c r="E25" i="3"/>
  <c r="G25" i="3" s="1"/>
  <c r="H25" i="3" s="1"/>
  <c r="K24" i="3"/>
  <c r="I29" i="5"/>
  <c r="K29" i="5" s="1"/>
  <c r="D29" i="5"/>
  <c r="C30" i="5"/>
  <c r="E28" i="5"/>
  <c r="F28" i="5" s="1"/>
  <c r="J28" i="5"/>
  <c r="C127" i="11"/>
  <c r="D126" i="11"/>
  <c r="M14" i="11"/>
  <c r="E15" i="11" s="1"/>
  <c r="F15" i="11" s="1"/>
  <c r="T24" i="2"/>
  <c r="AC24" i="2" s="1"/>
  <c r="G68" i="3"/>
  <c r="H68" i="3" s="1"/>
  <c r="I68" i="3" s="1"/>
  <c r="K108" i="5"/>
  <c r="M108" i="5" s="1"/>
  <c r="F108" i="5"/>
  <c r="H108" i="5" s="1"/>
  <c r="C70" i="3"/>
  <c r="D69" i="3"/>
  <c r="E69" i="3" s="1"/>
  <c r="K69" i="3"/>
  <c r="F69" i="3" s="1"/>
  <c r="D109" i="5"/>
  <c r="J109" i="5"/>
  <c r="I109" i="5"/>
  <c r="C110" i="5"/>
  <c r="E109" i="5"/>
  <c r="M25" i="2"/>
  <c r="N25" i="2"/>
  <c r="F25" i="2"/>
  <c r="U23" i="2"/>
  <c r="H23" i="2"/>
  <c r="I23" i="2" s="1"/>
  <c r="D30" i="4"/>
  <c r="C31" i="4"/>
  <c r="I24" i="7"/>
  <c r="J17" i="6"/>
  <c r="K17" i="6"/>
  <c r="L17" i="6" s="1"/>
  <c r="U24" i="2"/>
  <c r="H24" i="2"/>
  <c r="I24" i="2" s="1"/>
  <c r="AD23" i="2"/>
  <c r="AE23" i="2" s="1"/>
  <c r="AF23" i="2" s="1"/>
  <c r="AG23" i="2" s="1"/>
  <c r="O23" i="2"/>
  <c r="C27" i="2"/>
  <c r="L27" i="2"/>
  <c r="Q27" i="2" s="1"/>
  <c r="S26" i="2"/>
  <c r="L24" i="7"/>
  <c r="M24" i="7" s="1"/>
  <c r="K24" i="7"/>
  <c r="D26" i="2"/>
  <c r="E26" i="2" s="1"/>
  <c r="R25" i="2"/>
  <c r="AA25" i="2" s="1"/>
  <c r="P15" i="4"/>
  <c r="G15" i="4"/>
  <c r="H15" i="4"/>
  <c r="I15" i="4" s="1"/>
  <c r="J15" i="4" s="1"/>
  <c r="K15" i="4" s="1"/>
  <c r="L15" i="4"/>
  <c r="E31" i="8"/>
  <c r="F31" i="8" s="1"/>
  <c r="D32" i="8"/>
  <c r="AB25" i="2"/>
  <c r="E25" i="7"/>
  <c r="C26" i="7"/>
  <c r="F25" i="7"/>
  <c r="G25" i="7" s="1"/>
  <c r="K33" i="8"/>
  <c r="L33" i="8" s="1"/>
  <c r="G34" i="8" s="1"/>
  <c r="AD24" i="2"/>
  <c r="AE24" i="2" s="1"/>
  <c r="AF24" i="2" s="1"/>
  <c r="AG24" i="2" s="1"/>
  <c r="O24" i="2"/>
  <c r="F21" i="12" l="1"/>
  <c r="G21" i="12" s="1"/>
  <c r="J21" i="12" s="1"/>
  <c r="K21" i="12" s="1"/>
  <c r="E21" i="12" s="1"/>
  <c r="K25" i="3"/>
  <c r="F26" i="3"/>
  <c r="E26" i="3"/>
  <c r="C27" i="3"/>
  <c r="T25" i="2"/>
  <c r="AC25" i="2" s="1"/>
  <c r="I30" i="5"/>
  <c r="K30" i="5" s="1"/>
  <c r="D30" i="5"/>
  <c r="C31" i="5"/>
  <c r="I25" i="7"/>
  <c r="E29" i="5"/>
  <c r="F29" i="5" s="1"/>
  <c r="J29" i="5"/>
  <c r="G69" i="3"/>
  <c r="H69" i="3" s="1"/>
  <c r="I69" i="3" s="1"/>
  <c r="G15" i="11"/>
  <c r="I15" i="11" s="1"/>
  <c r="C128" i="11"/>
  <c r="D127" i="11"/>
  <c r="C71" i="3"/>
  <c r="D70" i="3"/>
  <c r="E70" i="3" s="1"/>
  <c r="K70" i="3"/>
  <c r="F70" i="3" s="1"/>
  <c r="F109" i="5"/>
  <c r="H109" i="5" s="1"/>
  <c r="K109" i="5"/>
  <c r="M109" i="5" s="1"/>
  <c r="E110" i="5"/>
  <c r="C111" i="5"/>
  <c r="D110" i="5"/>
  <c r="J110" i="5"/>
  <c r="I110" i="5"/>
  <c r="M15" i="4"/>
  <c r="F16" i="4" s="1"/>
  <c r="H16" i="4" s="1"/>
  <c r="I16" i="4" s="1"/>
  <c r="J16" i="4" s="1"/>
  <c r="K16" i="4" s="1"/>
  <c r="M16" i="4" s="1"/>
  <c r="F17" i="4" s="1"/>
  <c r="P16" i="4"/>
  <c r="L16" i="4"/>
  <c r="G16" i="4"/>
  <c r="K34" i="8"/>
  <c r="L34" i="8" s="1"/>
  <c r="G35" i="8" s="1"/>
  <c r="M26" i="2"/>
  <c r="F26" i="2"/>
  <c r="N26" i="2"/>
  <c r="K25" i="7"/>
  <c r="L25" i="7"/>
  <c r="M25" i="7" s="1"/>
  <c r="AB26" i="2"/>
  <c r="V24" i="2"/>
  <c r="W24" i="2" s="1"/>
  <c r="X24" i="2" s="1"/>
  <c r="Y24" i="2"/>
  <c r="N17" i="6"/>
  <c r="O17" i="6" s="1"/>
  <c r="AD25" i="2"/>
  <c r="AE25" i="2" s="1"/>
  <c r="AF25" i="2" s="1"/>
  <c r="AG25" i="2" s="1"/>
  <c r="O25" i="2"/>
  <c r="E32" i="8"/>
  <c r="F32" i="8" s="1"/>
  <c r="D33" i="8"/>
  <c r="K24" i="2"/>
  <c r="K23" i="2"/>
  <c r="F26" i="7"/>
  <c r="G26" i="7" s="1"/>
  <c r="C27" i="7"/>
  <c r="E26" i="7"/>
  <c r="S27" i="2"/>
  <c r="C28" i="2"/>
  <c r="L28" i="2"/>
  <c r="Q28" i="2" s="1"/>
  <c r="C32" i="4"/>
  <c r="D31" i="4"/>
  <c r="V23" i="2"/>
  <c r="W23" i="2" s="1"/>
  <c r="X23" i="2" s="1"/>
  <c r="Y23" i="2"/>
  <c r="Q15" i="4"/>
  <c r="R15" i="4" s="1"/>
  <c r="D27" i="2"/>
  <c r="E27" i="2" s="1"/>
  <c r="R26" i="2"/>
  <c r="AA26" i="2" s="1"/>
  <c r="E16" i="4"/>
  <c r="U25" i="2"/>
  <c r="H25" i="2"/>
  <c r="I25" i="2" s="1"/>
  <c r="N21" i="12" l="1"/>
  <c r="H21" i="12"/>
  <c r="I21" i="12" s="1"/>
  <c r="L21" i="12" s="1"/>
  <c r="G26" i="3"/>
  <c r="H26" i="3" s="1"/>
  <c r="C28" i="3"/>
  <c r="E27" i="3"/>
  <c r="F27" i="3"/>
  <c r="I26" i="7"/>
  <c r="D31" i="5"/>
  <c r="I31" i="5"/>
  <c r="K31" i="5" s="1"/>
  <c r="C32" i="5"/>
  <c r="J30" i="5"/>
  <c r="E30" i="5"/>
  <c r="F30" i="5" s="1"/>
  <c r="H15" i="11"/>
  <c r="J15" i="11" s="1"/>
  <c r="N15" i="11"/>
  <c r="C129" i="11"/>
  <c r="D128" i="11"/>
  <c r="K110" i="5"/>
  <c r="M110" i="5" s="1"/>
  <c r="F110" i="5"/>
  <c r="H110" i="5" s="1"/>
  <c r="C112" i="5"/>
  <c r="J111" i="5"/>
  <c r="D111" i="5"/>
  <c r="I111" i="5"/>
  <c r="E111" i="5"/>
  <c r="G70" i="3"/>
  <c r="H70" i="3" s="1"/>
  <c r="I70" i="3" s="1"/>
  <c r="D71" i="3"/>
  <c r="E71" i="3" s="1"/>
  <c r="C72" i="3"/>
  <c r="K71" i="3"/>
  <c r="F71" i="3" s="1"/>
  <c r="G17" i="4"/>
  <c r="H17" i="4"/>
  <c r="I17" i="4" s="1"/>
  <c r="L17" i="4"/>
  <c r="P17" i="4"/>
  <c r="AB27" i="2"/>
  <c r="E27" i="7"/>
  <c r="F27" i="7"/>
  <c r="G27" i="7" s="1"/>
  <c r="C28" i="7"/>
  <c r="S28" i="2"/>
  <c r="C29" i="2"/>
  <c r="L29" i="2"/>
  <c r="Q29" i="2" s="1"/>
  <c r="K25" i="2"/>
  <c r="Q16" i="4"/>
  <c r="R16" i="4" s="1"/>
  <c r="D32" i="4"/>
  <c r="C33" i="4"/>
  <c r="V25" i="2"/>
  <c r="W25" i="2" s="1"/>
  <c r="X25" i="2" s="1"/>
  <c r="Y25" i="2"/>
  <c r="N27" i="2"/>
  <c r="F27" i="2"/>
  <c r="M27" i="2"/>
  <c r="P17" i="6"/>
  <c r="H18" i="6" s="1"/>
  <c r="R18" i="6" s="1"/>
  <c r="G18" i="6"/>
  <c r="T26" i="2"/>
  <c r="AC26" i="2" s="1"/>
  <c r="AD26" i="2"/>
  <c r="AE26" i="2" s="1"/>
  <c r="AF26" i="2" s="1"/>
  <c r="AG26" i="2" s="1"/>
  <c r="O26" i="2"/>
  <c r="K35" i="8"/>
  <c r="L35" i="8" s="1"/>
  <c r="G36" i="8" s="1"/>
  <c r="E17" i="4"/>
  <c r="D28" i="2"/>
  <c r="R27" i="2"/>
  <c r="AA27" i="2" s="1"/>
  <c r="K26" i="7"/>
  <c r="L26" i="7"/>
  <c r="M26" i="7" s="1"/>
  <c r="E33" i="8"/>
  <c r="F33" i="8" s="1"/>
  <c r="D34" i="8"/>
  <c r="U26" i="2"/>
  <c r="H26" i="2"/>
  <c r="I26" i="2" s="1"/>
  <c r="K26" i="2" s="1"/>
  <c r="F22" i="12" l="1"/>
  <c r="G22" i="12" s="1"/>
  <c r="J22" i="12" s="1"/>
  <c r="K22" i="12" s="1"/>
  <c r="E22" i="12" s="1"/>
  <c r="G27" i="3"/>
  <c r="H27" i="3" s="1"/>
  <c r="C29" i="3"/>
  <c r="F28" i="3"/>
  <c r="E28" i="3"/>
  <c r="G28" i="3" s="1"/>
  <c r="H28" i="3" s="1"/>
  <c r="K26" i="3"/>
  <c r="I32" i="5"/>
  <c r="K32" i="5" s="1"/>
  <c r="C33" i="5"/>
  <c r="D32" i="5"/>
  <c r="G71" i="3"/>
  <c r="H71" i="3" s="1"/>
  <c r="I71" i="3" s="1"/>
  <c r="Q17" i="4"/>
  <c r="J31" i="5"/>
  <c r="E31" i="5"/>
  <c r="F31" i="5" s="1"/>
  <c r="C130" i="11"/>
  <c r="D129" i="11"/>
  <c r="K15" i="11"/>
  <c r="L15" i="11" s="1"/>
  <c r="R17" i="4"/>
  <c r="K111" i="5"/>
  <c r="M111" i="5" s="1"/>
  <c r="F111" i="5"/>
  <c r="H111" i="5" s="1"/>
  <c r="E112" i="5"/>
  <c r="J112" i="5"/>
  <c r="D112" i="5"/>
  <c r="I112" i="5"/>
  <c r="C113" i="5"/>
  <c r="C73" i="3"/>
  <c r="D72" i="3"/>
  <c r="E72" i="3" s="1"/>
  <c r="K72" i="3"/>
  <c r="F72" i="3" s="1"/>
  <c r="K36" i="8"/>
  <c r="L36" i="8" s="1"/>
  <c r="G37" i="8" s="1"/>
  <c r="E34" i="8"/>
  <c r="F34" i="8" s="1"/>
  <c r="D35" i="8"/>
  <c r="T27" i="2"/>
  <c r="AC27" i="2" s="1"/>
  <c r="S29" i="2"/>
  <c r="C30" i="2"/>
  <c r="L30" i="2"/>
  <c r="Q30" i="2" s="1"/>
  <c r="U27" i="2"/>
  <c r="H27" i="2"/>
  <c r="I27" i="2" s="1"/>
  <c r="K27" i="2" s="1"/>
  <c r="D33" i="4"/>
  <c r="C34" i="4"/>
  <c r="F28" i="7"/>
  <c r="G28" i="7" s="1"/>
  <c r="E28" i="7"/>
  <c r="C29" i="7"/>
  <c r="V26" i="2"/>
  <c r="W26" i="2" s="1"/>
  <c r="X26" i="2" s="1"/>
  <c r="Y26" i="2"/>
  <c r="D29" i="2"/>
  <c r="E29" i="2" s="1"/>
  <c r="R28" i="2"/>
  <c r="AA28" i="2" s="1"/>
  <c r="I18" i="6"/>
  <c r="AD27" i="2"/>
  <c r="AE27" i="2" s="1"/>
  <c r="AF27" i="2" s="1"/>
  <c r="AG27" i="2" s="1"/>
  <c r="O27" i="2"/>
  <c r="E28" i="2"/>
  <c r="AB28" i="2"/>
  <c r="I27" i="7"/>
  <c r="J17" i="4"/>
  <c r="K17" i="4" s="1"/>
  <c r="M17" i="4" s="1"/>
  <c r="F18" i="4" s="1"/>
  <c r="K27" i="7"/>
  <c r="L27" i="7"/>
  <c r="M27" i="7" s="1"/>
  <c r="N22" i="12" l="1"/>
  <c r="H22" i="12"/>
  <c r="I22" i="12" s="1"/>
  <c r="L22" i="12" s="1"/>
  <c r="K28" i="3"/>
  <c r="C30" i="3"/>
  <c r="F29" i="3"/>
  <c r="E29" i="3"/>
  <c r="G29" i="3" s="1"/>
  <c r="H29" i="3" s="1"/>
  <c r="K27" i="3"/>
  <c r="I33" i="5"/>
  <c r="K33" i="5" s="1"/>
  <c r="D33" i="5"/>
  <c r="C34" i="5"/>
  <c r="M15" i="11"/>
  <c r="E16" i="11" s="1"/>
  <c r="F16" i="11" s="1"/>
  <c r="G16" i="11" s="1"/>
  <c r="I16" i="11" s="1"/>
  <c r="J32" i="5"/>
  <c r="E32" i="5"/>
  <c r="F32" i="5" s="1"/>
  <c r="C131" i="11"/>
  <c r="D130" i="11"/>
  <c r="J113" i="5"/>
  <c r="C114" i="5"/>
  <c r="D113" i="5"/>
  <c r="I113" i="5"/>
  <c r="E113" i="5"/>
  <c r="K112" i="5"/>
  <c r="M112" i="5" s="1"/>
  <c r="F112" i="5"/>
  <c r="H112" i="5" s="1"/>
  <c r="G72" i="3"/>
  <c r="H72" i="3" s="1"/>
  <c r="I72" i="3" s="1"/>
  <c r="T28" i="2"/>
  <c r="AC28" i="2" s="1"/>
  <c r="C74" i="3"/>
  <c r="K73" i="3"/>
  <c r="F73" i="3" s="1"/>
  <c r="D73" i="3"/>
  <c r="E73" i="3" s="1"/>
  <c r="N29" i="2"/>
  <c r="F29" i="2"/>
  <c r="M29" i="2"/>
  <c r="V27" i="2"/>
  <c r="W27" i="2" s="1"/>
  <c r="X27" i="2" s="1"/>
  <c r="Y27" i="2"/>
  <c r="AB29" i="2"/>
  <c r="E29" i="7"/>
  <c r="C30" i="7"/>
  <c r="F29" i="7"/>
  <c r="G29" i="7" s="1"/>
  <c r="C35" i="4"/>
  <c r="D34" i="4"/>
  <c r="D30" i="2"/>
  <c r="E30" i="2" s="1"/>
  <c r="R29" i="2"/>
  <c r="AA29" i="2" s="1"/>
  <c r="L28" i="7"/>
  <c r="M28" i="7" s="1"/>
  <c r="K28" i="7"/>
  <c r="E18" i="4"/>
  <c r="K18" i="6"/>
  <c r="L18" i="6" s="1"/>
  <c r="J18" i="6"/>
  <c r="I28" i="7"/>
  <c r="S30" i="2"/>
  <c r="C31" i="2"/>
  <c r="L31" i="2"/>
  <c r="Q31" i="2" s="1"/>
  <c r="D36" i="8"/>
  <c r="E35" i="8"/>
  <c r="F35" i="8" s="1"/>
  <c r="G18" i="4"/>
  <c r="P18" i="4"/>
  <c r="L18" i="4"/>
  <c r="H18" i="4"/>
  <c r="I18" i="4" s="1"/>
  <c r="J18" i="4" s="1"/>
  <c r="K18" i="4" s="1"/>
  <c r="M18" i="4" s="1"/>
  <c r="F19" i="4" s="1"/>
  <c r="Q18" i="4"/>
  <c r="R18" i="4" s="1"/>
  <c r="N28" i="2"/>
  <c r="M28" i="2"/>
  <c r="F28" i="2"/>
  <c r="K37" i="8"/>
  <c r="L37" i="8" s="1"/>
  <c r="G38" i="8" s="1"/>
  <c r="F23" i="12" l="1"/>
  <c r="G23" i="12" s="1"/>
  <c r="J23" i="12" s="1"/>
  <c r="K23" i="12" s="1"/>
  <c r="E23" i="12" s="1"/>
  <c r="K29" i="3"/>
  <c r="C31" i="3"/>
  <c r="F30" i="3"/>
  <c r="E30" i="3"/>
  <c r="G30" i="3" s="1"/>
  <c r="H30" i="3" s="1"/>
  <c r="I29" i="7"/>
  <c r="G73" i="3"/>
  <c r="H73" i="3" s="1"/>
  <c r="I73" i="3" s="1"/>
  <c r="I34" i="5"/>
  <c r="K34" i="5" s="1"/>
  <c r="C35" i="5"/>
  <c r="D34" i="5"/>
  <c r="E33" i="5"/>
  <c r="F33" i="5" s="1"/>
  <c r="J33" i="5"/>
  <c r="H16" i="11"/>
  <c r="J16" i="11" s="1"/>
  <c r="N16" i="11"/>
  <c r="C132" i="11"/>
  <c r="D131" i="11"/>
  <c r="K113" i="5"/>
  <c r="M113" i="5" s="1"/>
  <c r="F113" i="5"/>
  <c r="H113" i="5" s="1"/>
  <c r="D74" i="3"/>
  <c r="E74" i="3" s="1"/>
  <c r="C75" i="3"/>
  <c r="K74" i="3"/>
  <c r="F74" i="3" s="1"/>
  <c r="D114" i="5"/>
  <c r="E114" i="5"/>
  <c r="I114" i="5"/>
  <c r="C115" i="5"/>
  <c r="J114" i="5"/>
  <c r="N18" i="6"/>
  <c r="O18" i="6" s="1"/>
  <c r="G19" i="6" s="1"/>
  <c r="K38" i="8"/>
  <c r="L38" i="8" s="1"/>
  <c r="G39" i="8" s="1"/>
  <c r="P19" i="4"/>
  <c r="G19" i="4"/>
  <c r="L19" i="4"/>
  <c r="H19" i="4"/>
  <c r="I19" i="4" s="1"/>
  <c r="AB30" i="2"/>
  <c r="U28" i="2"/>
  <c r="H28" i="2"/>
  <c r="I28" i="2" s="1"/>
  <c r="L32" i="2"/>
  <c r="Q32" i="2" s="1"/>
  <c r="C32" i="2"/>
  <c r="S31" i="2"/>
  <c r="E19" i="4"/>
  <c r="D31" i="2"/>
  <c r="R30" i="2"/>
  <c r="AA30" i="2" s="1"/>
  <c r="E30" i="7"/>
  <c r="F30" i="7"/>
  <c r="G30" i="7" s="1"/>
  <c r="C31" i="7"/>
  <c r="U29" i="2"/>
  <c r="H29" i="2"/>
  <c r="P18" i="6"/>
  <c r="H19" i="6" s="1"/>
  <c r="R19" i="6" s="1"/>
  <c r="AD28" i="2"/>
  <c r="AE28" i="2" s="1"/>
  <c r="AF28" i="2" s="1"/>
  <c r="AG28" i="2" s="1"/>
  <c r="O28" i="2"/>
  <c r="D37" i="8"/>
  <c r="E36" i="8"/>
  <c r="F36" i="8" s="1"/>
  <c r="M30" i="2"/>
  <c r="N30" i="2"/>
  <c r="F30" i="2"/>
  <c r="D35" i="4"/>
  <c r="C36" i="4"/>
  <c r="L29" i="7"/>
  <c r="M29" i="7" s="1"/>
  <c r="K29" i="7"/>
  <c r="T29" i="2"/>
  <c r="AC29" i="2" s="1"/>
  <c r="AD29" i="2"/>
  <c r="AE29" i="2" s="1"/>
  <c r="AF29" i="2" s="1"/>
  <c r="AG29" i="2" s="1"/>
  <c r="O29" i="2"/>
  <c r="N23" i="12" l="1"/>
  <c r="H23" i="12"/>
  <c r="I23" i="12" s="1"/>
  <c r="L23" i="12" s="1"/>
  <c r="K30" i="3"/>
  <c r="C32" i="3"/>
  <c r="E31" i="3"/>
  <c r="F31" i="3"/>
  <c r="J19" i="4"/>
  <c r="K19" i="4" s="1"/>
  <c r="M19" i="4" s="1"/>
  <c r="F20" i="4" s="1"/>
  <c r="E34" i="5"/>
  <c r="F34" i="5" s="1"/>
  <c r="J34" i="5"/>
  <c r="I29" i="2"/>
  <c r="I35" i="5"/>
  <c r="K35" i="5" s="1"/>
  <c r="D35" i="5"/>
  <c r="C36" i="5"/>
  <c r="C133" i="11"/>
  <c r="D132" i="11"/>
  <c r="K16" i="11"/>
  <c r="L16" i="11" s="1"/>
  <c r="Q19" i="4"/>
  <c r="R19" i="4" s="1"/>
  <c r="K114" i="5"/>
  <c r="M114" i="5" s="1"/>
  <c r="F114" i="5"/>
  <c r="H114" i="5" s="1"/>
  <c r="C76" i="3"/>
  <c r="K75" i="3"/>
  <c r="F75" i="3" s="1"/>
  <c r="D75" i="3"/>
  <c r="E75" i="3" s="1"/>
  <c r="G74" i="3"/>
  <c r="H74" i="3" s="1"/>
  <c r="I74" i="3" s="1"/>
  <c r="E115" i="5"/>
  <c r="D115" i="5"/>
  <c r="J115" i="5"/>
  <c r="C116" i="5"/>
  <c r="I115" i="5"/>
  <c r="K39" i="8"/>
  <c r="L39" i="8" s="1"/>
  <c r="G40" i="8" s="1"/>
  <c r="P20" i="4"/>
  <c r="G20" i="4"/>
  <c r="L20" i="4"/>
  <c r="H20" i="4"/>
  <c r="I20" i="4" s="1"/>
  <c r="D32" i="2"/>
  <c r="R31" i="2"/>
  <c r="AA31" i="2" s="1"/>
  <c r="I19" i="6"/>
  <c r="I30" i="7"/>
  <c r="E20" i="4"/>
  <c r="L33" i="2"/>
  <c r="Q33" i="2" s="1"/>
  <c r="C33" i="2"/>
  <c r="S32" i="2"/>
  <c r="E32" i="2"/>
  <c r="D38" i="8"/>
  <c r="E37" i="8"/>
  <c r="F37" i="8" s="1"/>
  <c r="L30" i="7"/>
  <c r="M30" i="7" s="1"/>
  <c r="K30" i="7"/>
  <c r="U30" i="2"/>
  <c r="H30" i="2"/>
  <c r="I30" i="2" s="1"/>
  <c r="K29" i="2"/>
  <c r="K28" i="2"/>
  <c r="AD30" i="2"/>
  <c r="AE30" i="2" s="1"/>
  <c r="AF30" i="2" s="1"/>
  <c r="O30" i="2"/>
  <c r="V29" i="2"/>
  <c r="W29" i="2" s="1"/>
  <c r="X29" i="2" s="1"/>
  <c r="Y29" i="2"/>
  <c r="C32" i="7"/>
  <c r="F31" i="7"/>
  <c r="G31" i="7" s="1"/>
  <c r="E31" i="7"/>
  <c r="AB31" i="2"/>
  <c r="V28" i="2"/>
  <c r="W28" i="2" s="1"/>
  <c r="X28" i="2" s="1"/>
  <c r="Y28" i="2"/>
  <c r="T30" i="2"/>
  <c r="AC30" i="2" s="1"/>
  <c r="C37" i="4"/>
  <c r="D36" i="4"/>
  <c r="E31" i="2"/>
  <c r="F24" i="12" l="1"/>
  <c r="G24" i="12" s="1"/>
  <c r="J24" i="12" s="1"/>
  <c r="K24" i="12" s="1"/>
  <c r="E24" i="12" s="1"/>
  <c r="F32" i="3"/>
  <c r="E32" i="3"/>
  <c r="G32" i="3" s="1"/>
  <c r="H32" i="3" s="1"/>
  <c r="C33" i="3"/>
  <c r="G31" i="3"/>
  <c r="H31" i="3" s="1"/>
  <c r="I36" i="5"/>
  <c r="K36" i="5" s="1"/>
  <c r="D36" i="5"/>
  <c r="C37" i="5"/>
  <c r="M16" i="11"/>
  <c r="E17" i="11" s="1"/>
  <c r="F17" i="11" s="1"/>
  <c r="G17" i="11" s="1"/>
  <c r="I17" i="11" s="1"/>
  <c r="J35" i="5"/>
  <c r="E35" i="5"/>
  <c r="F35" i="5" s="1"/>
  <c r="T31" i="2"/>
  <c r="AC31" i="2" s="1"/>
  <c r="AG30" i="2"/>
  <c r="C134" i="11"/>
  <c r="D133" i="11"/>
  <c r="K115" i="5"/>
  <c r="M115" i="5" s="1"/>
  <c r="F115" i="5"/>
  <c r="H115" i="5" s="1"/>
  <c r="I31" i="7"/>
  <c r="E116" i="5"/>
  <c r="D116" i="5"/>
  <c r="I116" i="5"/>
  <c r="C117" i="5"/>
  <c r="J116" i="5"/>
  <c r="G75" i="3"/>
  <c r="H75" i="3" s="1"/>
  <c r="I75" i="3" s="1"/>
  <c r="K76" i="3"/>
  <c r="F76" i="3" s="1"/>
  <c r="D76" i="3"/>
  <c r="E76" i="3" s="1"/>
  <c r="C77" i="3"/>
  <c r="F32" i="2"/>
  <c r="N32" i="2"/>
  <c r="M32" i="2"/>
  <c r="D33" i="2"/>
  <c r="E33" i="2" s="1"/>
  <c r="R32" i="2"/>
  <c r="AA32" i="2" s="1"/>
  <c r="M31" i="2"/>
  <c r="N31" i="2"/>
  <c r="F31" i="2"/>
  <c r="K31" i="7"/>
  <c r="L31" i="7"/>
  <c r="M31" i="7" s="1"/>
  <c r="V30" i="2"/>
  <c r="W30" i="2" s="1"/>
  <c r="X30" i="2" s="1"/>
  <c r="Y30" i="2"/>
  <c r="E38" i="8"/>
  <c r="F38" i="8" s="1"/>
  <c r="D39" i="8"/>
  <c r="AB32" i="2"/>
  <c r="J20" i="4"/>
  <c r="K20" i="4" s="1"/>
  <c r="M20" i="4" s="1"/>
  <c r="F21" i="4" s="1"/>
  <c r="Q20" i="4"/>
  <c r="R20" i="4" s="1"/>
  <c r="K30" i="2"/>
  <c r="C34" i="2"/>
  <c r="L34" i="2"/>
  <c r="Q34" i="2" s="1"/>
  <c r="S33" i="2"/>
  <c r="J19" i="6"/>
  <c r="K19" i="6"/>
  <c r="L19" i="6" s="1"/>
  <c r="N19" i="6" s="1"/>
  <c r="O19" i="6" s="1"/>
  <c r="D37" i="4"/>
  <c r="C38" i="4"/>
  <c r="E32" i="7"/>
  <c r="F32" i="7"/>
  <c r="G32" i="7" s="1"/>
  <c r="C33" i="7"/>
  <c r="K40" i="8"/>
  <c r="L40" i="8" s="1"/>
  <c r="G41" i="8" s="1"/>
  <c r="N24" i="12" l="1"/>
  <c r="H24" i="12"/>
  <c r="I24" i="12" s="1"/>
  <c r="L24" i="12" s="1"/>
  <c r="K31" i="3"/>
  <c r="F33" i="3"/>
  <c r="C34" i="3"/>
  <c r="E33" i="3"/>
  <c r="G33" i="3" s="1"/>
  <c r="H33" i="3" s="1"/>
  <c r="K32" i="3"/>
  <c r="I37" i="5"/>
  <c r="K37" i="5" s="1"/>
  <c r="D37" i="5"/>
  <c r="C38" i="5"/>
  <c r="J36" i="5"/>
  <c r="E36" i="5"/>
  <c r="F36" i="5" s="1"/>
  <c r="T32" i="2"/>
  <c r="AC32" i="2" s="1"/>
  <c r="H17" i="11"/>
  <c r="J17" i="11" s="1"/>
  <c r="N17" i="11"/>
  <c r="C135" i="11"/>
  <c r="D134" i="11"/>
  <c r="K116" i="5"/>
  <c r="M116" i="5" s="1"/>
  <c r="F116" i="5"/>
  <c r="H116" i="5" s="1"/>
  <c r="D117" i="5"/>
  <c r="I117" i="5"/>
  <c r="J117" i="5"/>
  <c r="C118" i="5"/>
  <c r="E117" i="5"/>
  <c r="D77" i="3"/>
  <c r="E77" i="3" s="1"/>
  <c r="K77" i="3"/>
  <c r="F77" i="3" s="1"/>
  <c r="C78" i="3"/>
  <c r="G76" i="3"/>
  <c r="H76" i="3" s="1"/>
  <c r="I76" i="3" s="1"/>
  <c r="K41" i="8"/>
  <c r="L41" i="8" s="1"/>
  <c r="G42" i="8" s="1"/>
  <c r="K32" i="7"/>
  <c r="L32" i="7"/>
  <c r="M32" i="7" s="1"/>
  <c r="C39" i="4"/>
  <c r="D38" i="4"/>
  <c r="H21" i="4"/>
  <c r="I21" i="4" s="1"/>
  <c r="P21" i="4"/>
  <c r="G21" i="4"/>
  <c r="L21" i="4"/>
  <c r="U31" i="2"/>
  <c r="H31" i="2"/>
  <c r="I31" i="2" s="1"/>
  <c r="D34" i="2"/>
  <c r="E34" i="2" s="1"/>
  <c r="R33" i="2"/>
  <c r="AA33" i="2" s="1"/>
  <c r="AD32" i="2"/>
  <c r="AE32" i="2" s="1"/>
  <c r="AF32" i="2" s="1"/>
  <c r="AG32" i="2" s="1"/>
  <c r="O32" i="2"/>
  <c r="E33" i="7"/>
  <c r="F33" i="7"/>
  <c r="G33" i="7" s="1"/>
  <c r="I33" i="7" s="1"/>
  <c r="C34" i="7"/>
  <c r="N33" i="2"/>
  <c r="F33" i="2"/>
  <c r="M33" i="2"/>
  <c r="I32" i="7"/>
  <c r="AB33" i="2"/>
  <c r="C35" i="2"/>
  <c r="S34" i="2"/>
  <c r="L35" i="2"/>
  <c r="Q35" i="2" s="1"/>
  <c r="E21" i="4"/>
  <c r="AD31" i="2"/>
  <c r="AE31" i="2" s="1"/>
  <c r="AF31" i="2" s="1"/>
  <c r="AG31" i="2" s="1"/>
  <c r="O31" i="2"/>
  <c r="U32" i="2"/>
  <c r="H32" i="2"/>
  <c r="G20" i="6"/>
  <c r="P19" i="6"/>
  <c r="H20" i="6" s="1"/>
  <c r="R20" i="6" s="1"/>
  <c r="E39" i="8"/>
  <c r="F39" i="8" s="1"/>
  <c r="D40" i="8"/>
  <c r="F25" i="12" l="1"/>
  <c r="G25" i="12" s="1"/>
  <c r="J25" i="12" s="1"/>
  <c r="K25" i="12" s="1"/>
  <c r="E25" i="12" s="1"/>
  <c r="K33" i="3"/>
  <c r="F34" i="3"/>
  <c r="E34" i="3"/>
  <c r="G34" i="3" s="1"/>
  <c r="H34" i="3" s="1"/>
  <c r="C35" i="3"/>
  <c r="T33" i="2"/>
  <c r="AC33" i="2" s="1"/>
  <c r="I38" i="5"/>
  <c r="K38" i="5" s="1"/>
  <c r="D38" i="5"/>
  <c r="C39" i="5"/>
  <c r="E37" i="5"/>
  <c r="F37" i="5" s="1"/>
  <c r="J37" i="5"/>
  <c r="Q21" i="4"/>
  <c r="R21" i="4" s="1"/>
  <c r="K17" i="11"/>
  <c r="L17" i="11" s="1"/>
  <c r="C136" i="11"/>
  <c r="D135" i="11"/>
  <c r="D78" i="3"/>
  <c r="E78" i="3" s="1"/>
  <c r="C79" i="3"/>
  <c r="K78" i="3"/>
  <c r="F78" i="3" s="1"/>
  <c r="E118" i="5"/>
  <c r="C119" i="5"/>
  <c r="D118" i="5"/>
  <c r="J118" i="5"/>
  <c r="I118" i="5"/>
  <c r="G77" i="3"/>
  <c r="H77" i="3" s="1"/>
  <c r="I77" i="3" s="1"/>
  <c r="K117" i="5"/>
  <c r="M117" i="5" s="1"/>
  <c r="F117" i="5"/>
  <c r="H117" i="5" s="1"/>
  <c r="I32" i="2"/>
  <c r="K32" i="2" s="1"/>
  <c r="K31" i="2"/>
  <c r="C40" i="4"/>
  <c r="D39" i="4"/>
  <c r="V32" i="2"/>
  <c r="W32" i="2" s="1"/>
  <c r="X32" i="2" s="1"/>
  <c r="Y32" i="2"/>
  <c r="AB34" i="2"/>
  <c r="AD33" i="2"/>
  <c r="AE33" i="2" s="1"/>
  <c r="AF33" i="2" s="1"/>
  <c r="AG33" i="2" s="1"/>
  <c r="O33" i="2"/>
  <c r="K33" i="7"/>
  <c r="L33" i="7"/>
  <c r="M33" i="7" s="1"/>
  <c r="V31" i="2"/>
  <c r="W31" i="2" s="1"/>
  <c r="X31" i="2" s="1"/>
  <c r="Y31" i="2"/>
  <c r="M34" i="2"/>
  <c r="N34" i="2"/>
  <c r="F34" i="2"/>
  <c r="C35" i="7"/>
  <c r="F34" i="7"/>
  <c r="G34" i="7" s="1"/>
  <c r="E34" i="7"/>
  <c r="I20" i="6"/>
  <c r="S35" i="2"/>
  <c r="C36" i="2"/>
  <c r="L36" i="2"/>
  <c r="Q36" i="2" s="1"/>
  <c r="D35" i="2"/>
  <c r="R34" i="2"/>
  <c r="AA34" i="2" s="1"/>
  <c r="J21" i="4"/>
  <c r="K21" i="4" s="1"/>
  <c r="M21" i="4" s="1"/>
  <c r="F22" i="4" s="1"/>
  <c r="E40" i="8"/>
  <c r="F40" i="8" s="1"/>
  <c r="D41" i="8"/>
  <c r="U33" i="2"/>
  <c r="H33" i="2"/>
  <c r="I33" i="2" s="1"/>
  <c r="K42" i="8"/>
  <c r="L42" i="8" s="1"/>
  <c r="G43" i="8" s="1"/>
  <c r="N25" i="12" l="1"/>
  <c r="H25" i="12"/>
  <c r="I25" i="12" s="1"/>
  <c r="L25" i="12" s="1"/>
  <c r="C36" i="3"/>
  <c r="E35" i="3"/>
  <c r="F35" i="3"/>
  <c r="K34" i="3"/>
  <c r="K33" i="2"/>
  <c r="I39" i="5"/>
  <c r="K39" i="5" s="1"/>
  <c r="C40" i="5"/>
  <c r="D39" i="5"/>
  <c r="J38" i="5"/>
  <c r="E38" i="5"/>
  <c r="F38" i="5" s="1"/>
  <c r="C137" i="11"/>
  <c r="D136" i="11"/>
  <c r="M17" i="11"/>
  <c r="E18" i="11" s="1"/>
  <c r="F18" i="11" s="1"/>
  <c r="D79" i="3"/>
  <c r="E79" i="3" s="1"/>
  <c r="K79" i="3"/>
  <c r="F79" i="3" s="1"/>
  <c r="C80" i="3"/>
  <c r="G78" i="3"/>
  <c r="H78" i="3" s="1"/>
  <c r="I78" i="3" s="1"/>
  <c r="F118" i="5"/>
  <c r="H118" i="5" s="1"/>
  <c r="K118" i="5"/>
  <c r="M118" i="5" s="1"/>
  <c r="C120" i="5"/>
  <c r="E119" i="5"/>
  <c r="I119" i="5"/>
  <c r="D119" i="5"/>
  <c r="J119" i="5"/>
  <c r="K43" i="8"/>
  <c r="L43" i="8" s="1"/>
  <c r="G44" i="8" s="1"/>
  <c r="I34" i="7"/>
  <c r="D42" i="8"/>
  <c r="E41" i="8"/>
  <c r="F41" i="8" s="1"/>
  <c r="D36" i="2"/>
  <c r="E36" i="2" s="1"/>
  <c r="R35" i="2"/>
  <c r="AA35" i="2" s="1"/>
  <c r="S36" i="2"/>
  <c r="C37" i="2"/>
  <c r="L37" i="2"/>
  <c r="Q37" i="2" s="1"/>
  <c r="E35" i="7"/>
  <c r="C36" i="7"/>
  <c r="F35" i="7"/>
  <c r="G35" i="7" s="1"/>
  <c r="E22" i="4"/>
  <c r="L34" i="7"/>
  <c r="M34" i="7" s="1"/>
  <c r="K34" i="7"/>
  <c r="U34" i="2"/>
  <c r="H34" i="2"/>
  <c r="I34" i="2" s="1"/>
  <c r="K34" i="2" s="1"/>
  <c r="C41" i="4"/>
  <c r="D40" i="4"/>
  <c r="AB35" i="2"/>
  <c r="J20" i="6"/>
  <c r="K20" i="6"/>
  <c r="L20" i="6" s="1"/>
  <c r="P22" i="4"/>
  <c r="H22" i="4"/>
  <c r="I22" i="4" s="1"/>
  <c r="G22" i="4"/>
  <c r="L22" i="4"/>
  <c r="E35" i="2"/>
  <c r="AD34" i="2"/>
  <c r="AE34" i="2" s="1"/>
  <c r="AF34" i="2" s="1"/>
  <c r="O34" i="2"/>
  <c r="T34" i="2"/>
  <c r="AC34" i="2" s="1"/>
  <c r="V33" i="2"/>
  <c r="W33" i="2" s="1"/>
  <c r="X33" i="2" s="1"/>
  <c r="Y33" i="2"/>
  <c r="F26" i="12" l="1"/>
  <c r="G26" i="12" s="1"/>
  <c r="J26" i="12" s="1"/>
  <c r="K26" i="12" s="1"/>
  <c r="E26" i="12" s="1"/>
  <c r="G35" i="3"/>
  <c r="H35" i="3" s="1"/>
  <c r="E36" i="3"/>
  <c r="C37" i="3"/>
  <c r="F36" i="3"/>
  <c r="Q22" i="4"/>
  <c r="E39" i="5"/>
  <c r="F39" i="5" s="1"/>
  <c r="J39" i="5"/>
  <c r="I40" i="5"/>
  <c r="K40" i="5" s="1"/>
  <c r="C41" i="5"/>
  <c r="D40" i="5"/>
  <c r="AG34" i="2"/>
  <c r="G18" i="11"/>
  <c r="I18" i="11" s="1"/>
  <c r="C138" i="11"/>
  <c r="D137" i="11"/>
  <c r="R22" i="4"/>
  <c r="D80" i="3"/>
  <c r="E80" i="3" s="1"/>
  <c r="C81" i="3"/>
  <c r="K80" i="3"/>
  <c r="F80" i="3" s="1"/>
  <c r="I35" i="7"/>
  <c r="F119" i="5"/>
  <c r="H119" i="5" s="1"/>
  <c r="K119" i="5"/>
  <c r="M119" i="5" s="1"/>
  <c r="G79" i="3"/>
  <c r="H79" i="3" s="1"/>
  <c r="I79" i="3" s="1"/>
  <c r="J120" i="5"/>
  <c r="E120" i="5"/>
  <c r="I120" i="5"/>
  <c r="D120" i="5"/>
  <c r="C121" i="5"/>
  <c r="J22" i="4"/>
  <c r="K22" i="4" s="1"/>
  <c r="M22" i="4" s="1"/>
  <c r="F23" i="4" s="1"/>
  <c r="P23" i="4" s="1"/>
  <c r="K44" i="8"/>
  <c r="L44" i="8" s="1"/>
  <c r="G45" i="8" s="1"/>
  <c r="C42" i="4"/>
  <c r="D41" i="4"/>
  <c r="T35" i="2"/>
  <c r="AC35" i="2" s="1"/>
  <c r="F36" i="7"/>
  <c r="G36" i="7" s="1"/>
  <c r="C37" i="7"/>
  <c r="E36" i="7"/>
  <c r="M36" i="2"/>
  <c r="F36" i="2"/>
  <c r="N36" i="2"/>
  <c r="D37" i="2"/>
  <c r="E37" i="2" s="1"/>
  <c r="R36" i="2"/>
  <c r="AA36" i="2" s="1"/>
  <c r="V34" i="2"/>
  <c r="W34" i="2" s="1"/>
  <c r="X34" i="2" s="1"/>
  <c r="Y34" i="2"/>
  <c r="S37" i="2"/>
  <c r="L38" i="2"/>
  <c r="Q38" i="2" s="1"/>
  <c r="C38" i="2"/>
  <c r="N35" i="2"/>
  <c r="F35" i="2"/>
  <c r="M35" i="2"/>
  <c r="N20" i="6"/>
  <c r="O20" i="6" s="1"/>
  <c r="K35" i="7"/>
  <c r="L35" i="7"/>
  <c r="M35" i="7" s="1"/>
  <c r="AB36" i="2"/>
  <c r="E42" i="8"/>
  <c r="F42" i="8" s="1"/>
  <c r="D43" i="8"/>
  <c r="N26" i="12" l="1"/>
  <c r="H26" i="12"/>
  <c r="I26" i="12" s="1"/>
  <c r="L26" i="12" s="1"/>
  <c r="F27" i="12" s="1"/>
  <c r="F37" i="3"/>
  <c r="C38" i="3"/>
  <c r="E37" i="3"/>
  <c r="G37" i="3" s="1"/>
  <c r="H37" i="3" s="1"/>
  <c r="G36" i="3"/>
  <c r="H36" i="3" s="1"/>
  <c r="K35" i="3"/>
  <c r="C42" i="5"/>
  <c r="I41" i="5"/>
  <c r="K41" i="5" s="1"/>
  <c r="D41" i="5"/>
  <c r="E23" i="4"/>
  <c r="Q23" i="4"/>
  <c r="R23" i="4" s="1"/>
  <c r="E40" i="5"/>
  <c r="F40" i="5" s="1"/>
  <c r="J40" i="5"/>
  <c r="L23" i="4"/>
  <c r="H23" i="4"/>
  <c r="I23" i="4" s="1"/>
  <c r="G23" i="4"/>
  <c r="G80" i="3"/>
  <c r="H80" i="3" s="1"/>
  <c r="I80" i="3" s="1"/>
  <c r="C139" i="11"/>
  <c r="D138" i="11"/>
  <c r="N18" i="11"/>
  <c r="H18" i="11"/>
  <c r="J18" i="11" s="1"/>
  <c r="I36" i="7"/>
  <c r="F120" i="5"/>
  <c r="H120" i="5" s="1"/>
  <c r="K120" i="5"/>
  <c r="M120" i="5" s="1"/>
  <c r="K81" i="3"/>
  <c r="F81" i="3" s="1"/>
  <c r="D81" i="3"/>
  <c r="E81" i="3" s="1"/>
  <c r="C82" i="3"/>
  <c r="I121" i="5"/>
  <c r="J121" i="5"/>
  <c r="D121" i="5"/>
  <c r="E121" i="5"/>
  <c r="C122" i="5"/>
  <c r="U35" i="2"/>
  <c r="H35" i="2"/>
  <c r="I35" i="2" s="1"/>
  <c r="C39" i="2"/>
  <c r="L39" i="2"/>
  <c r="Q39" i="2" s="1"/>
  <c r="S38" i="2"/>
  <c r="T36" i="2"/>
  <c r="AC36" i="2" s="1"/>
  <c r="AD35" i="2"/>
  <c r="AE35" i="2" s="1"/>
  <c r="AF35" i="2" s="1"/>
  <c r="AG35" i="2" s="1"/>
  <c r="O35" i="2"/>
  <c r="AB37" i="2"/>
  <c r="D38" i="2"/>
  <c r="E38" i="2" s="1"/>
  <c r="R37" i="2"/>
  <c r="AA37" i="2" s="1"/>
  <c r="K36" i="7"/>
  <c r="L36" i="7"/>
  <c r="M36" i="7" s="1"/>
  <c r="J23" i="4"/>
  <c r="K23" i="4" s="1"/>
  <c r="AD36" i="2"/>
  <c r="AE36" i="2" s="1"/>
  <c r="AF36" i="2" s="1"/>
  <c r="O36" i="2"/>
  <c r="G21" i="6"/>
  <c r="P20" i="6"/>
  <c r="H21" i="6" s="1"/>
  <c r="R21" i="6" s="1"/>
  <c r="D44" i="8"/>
  <c r="E43" i="8"/>
  <c r="F43" i="8" s="1"/>
  <c r="U36" i="2"/>
  <c r="H36" i="2"/>
  <c r="I36" i="2" s="1"/>
  <c r="C38" i="7"/>
  <c r="F37" i="7"/>
  <c r="G37" i="7" s="1"/>
  <c r="E37" i="7"/>
  <c r="N37" i="2"/>
  <c r="M37" i="2"/>
  <c r="F37" i="2"/>
  <c r="C43" i="4"/>
  <c r="D42" i="4"/>
  <c r="K45" i="8"/>
  <c r="L45" i="8" s="1"/>
  <c r="G46" i="8" s="1"/>
  <c r="G27" i="12" l="1"/>
  <c r="K36" i="3"/>
  <c r="K37" i="3"/>
  <c r="E38" i="3"/>
  <c r="C39" i="3"/>
  <c r="F38" i="3"/>
  <c r="G81" i="3"/>
  <c r="H81" i="3" s="1"/>
  <c r="I81" i="3" s="1"/>
  <c r="M23" i="4"/>
  <c r="F24" i="4" s="1"/>
  <c r="E41" i="5"/>
  <c r="F41" i="5" s="1"/>
  <c r="J41" i="5"/>
  <c r="I42" i="5"/>
  <c r="K42" i="5" s="1"/>
  <c r="D42" i="5"/>
  <c r="C43" i="5"/>
  <c r="K18" i="11"/>
  <c r="L18" i="11" s="1"/>
  <c r="C140" i="11"/>
  <c r="D139" i="11"/>
  <c r="K121" i="5"/>
  <c r="M121" i="5" s="1"/>
  <c r="F121" i="5"/>
  <c r="H121" i="5" s="1"/>
  <c r="J122" i="5"/>
  <c r="E122" i="5"/>
  <c r="C123" i="5"/>
  <c r="D122" i="5"/>
  <c r="I122" i="5"/>
  <c r="K82" i="3"/>
  <c r="F82" i="3" s="1"/>
  <c r="C83" i="3"/>
  <c r="D82" i="3"/>
  <c r="E82" i="3" s="1"/>
  <c r="I37" i="7"/>
  <c r="K46" i="8"/>
  <c r="L46" i="8" s="1"/>
  <c r="G47" i="8" s="1"/>
  <c r="V36" i="2"/>
  <c r="W36" i="2" s="1"/>
  <c r="X36" i="2" s="1"/>
  <c r="Y36" i="2"/>
  <c r="U37" i="2"/>
  <c r="H37" i="2"/>
  <c r="I37" i="2" s="1"/>
  <c r="AG36" i="2"/>
  <c r="C39" i="7"/>
  <c r="F38" i="7"/>
  <c r="G38" i="7" s="1"/>
  <c r="E38" i="7"/>
  <c r="E44" i="8"/>
  <c r="F44" i="8" s="1"/>
  <c r="D45" i="8"/>
  <c r="I21" i="6"/>
  <c r="AB38" i="2"/>
  <c r="L40" i="2"/>
  <c r="Q40" i="2" s="1"/>
  <c r="C40" i="2"/>
  <c r="S39" i="2"/>
  <c r="D43" i="4"/>
  <c r="C44" i="4"/>
  <c r="AD37" i="2"/>
  <c r="AE37" i="2" s="1"/>
  <c r="AF37" i="2" s="1"/>
  <c r="O37" i="2"/>
  <c r="K37" i="7"/>
  <c r="L37" i="7"/>
  <c r="M37" i="7" s="1"/>
  <c r="K37" i="2"/>
  <c r="D39" i="2"/>
  <c r="R38" i="2"/>
  <c r="AA38" i="2" s="1"/>
  <c r="E24" i="4"/>
  <c r="K36" i="2"/>
  <c r="K35" i="2"/>
  <c r="P24" i="4"/>
  <c r="H24" i="4"/>
  <c r="I24" i="4" s="1"/>
  <c r="G24" i="4"/>
  <c r="L24" i="4"/>
  <c r="T37" i="2"/>
  <c r="AC37" i="2" s="1"/>
  <c r="N38" i="2"/>
  <c r="F38" i="2"/>
  <c r="M38" i="2"/>
  <c r="V35" i="2"/>
  <c r="W35" i="2" s="1"/>
  <c r="X35" i="2" s="1"/>
  <c r="Y35" i="2"/>
  <c r="J27" i="12" l="1"/>
  <c r="K27" i="12" s="1"/>
  <c r="E27" i="12" s="1"/>
  <c r="H27" i="12" s="1"/>
  <c r="I27" i="12" s="1"/>
  <c r="L27" i="12" s="1"/>
  <c r="N27" i="12"/>
  <c r="F39" i="3"/>
  <c r="E39" i="3"/>
  <c r="G39" i="3" s="1"/>
  <c r="H39" i="3" s="1"/>
  <c r="C40" i="3"/>
  <c r="G38" i="3"/>
  <c r="H38" i="3" s="1"/>
  <c r="G82" i="3"/>
  <c r="H82" i="3" s="1"/>
  <c r="I82" i="3" s="1"/>
  <c r="Q24" i="4"/>
  <c r="R24" i="4" s="1"/>
  <c r="C44" i="5"/>
  <c r="D43" i="5"/>
  <c r="I43" i="5"/>
  <c r="K43" i="5" s="1"/>
  <c r="E42" i="5"/>
  <c r="F42" i="5" s="1"/>
  <c r="J42" i="5"/>
  <c r="C141" i="11"/>
  <c r="D140" i="11"/>
  <c r="M18" i="11"/>
  <c r="E19" i="11" s="1"/>
  <c r="F19" i="11" s="1"/>
  <c r="K122" i="5"/>
  <c r="M122" i="5" s="1"/>
  <c r="F122" i="5"/>
  <c r="H122" i="5" s="1"/>
  <c r="C84" i="3"/>
  <c r="D83" i="3"/>
  <c r="E83" i="3" s="1"/>
  <c r="K83" i="3"/>
  <c r="F83" i="3" s="1"/>
  <c r="I123" i="5"/>
  <c r="C124" i="5"/>
  <c r="E123" i="5"/>
  <c r="D123" i="5"/>
  <c r="J123" i="5"/>
  <c r="K47" i="8"/>
  <c r="L47" i="8" s="1"/>
  <c r="G48" i="8" s="1"/>
  <c r="AG37" i="2"/>
  <c r="AB39" i="2"/>
  <c r="J21" i="6"/>
  <c r="K21" i="6"/>
  <c r="L21" i="6" s="1"/>
  <c r="C45" i="4"/>
  <c r="D44" i="4"/>
  <c r="L41" i="2"/>
  <c r="Q41" i="2" s="1"/>
  <c r="S40" i="2"/>
  <c r="C41" i="2"/>
  <c r="T38" i="2"/>
  <c r="AC38" i="2" s="1"/>
  <c r="K38" i="7"/>
  <c r="L38" i="7"/>
  <c r="M38" i="7" s="1"/>
  <c r="U38" i="2"/>
  <c r="H38" i="2"/>
  <c r="I38" i="2" s="1"/>
  <c r="K38" i="2" s="1"/>
  <c r="D40" i="2"/>
  <c r="E40" i="2" s="1"/>
  <c r="R39" i="2"/>
  <c r="AA39" i="2" s="1"/>
  <c r="AD38" i="2"/>
  <c r="AE38" i="2" s="1"/>
  <c r="AF38" i="2" s="1"/>
  <c r="AG38" i="2" s="1"/>
  <c r="O38" i="2"/>
  <c r="J24" i="4"/>
  <c r="K24" i="4" s="1"/>
  <c r="M24" i="4" s="1"/>
  <c r="F25" i="4" s="1"/>
  <c r="D46" i="8"/>
  <c r="E45" i="8"/>
  <c r="F45" i="8" s="1"/>
  <c r="I38" i="7"/>
  <c r="V37" i="2"/>
  <c r="W37" i="2" s="1"/>
  <c r="X37" i="2" s="1"/>
  <c r="Y37" i="2"/>
  <c r="E25" i="4"/>
  <c r="E39" i="2"/>
  <c r="C40" i="7"/>
  <c r="E39" i="7"/>
  <c r="F39" i="7"/>
  <c r="G39" i="7" s="1"/>
  <c r="F28" i="12" l="1"/>
  <c r="G28" i="12" s="1"/>
  <c r="J28" i="12" s="1"/>
  <c r="K28" i="12" s="1"/>
  <c r="E28" i="12" s="1"/>
  <c r="H28" i="12" s="1"/>
  <c r="I28" i="12" s="1"/>
  <c r="L28" i="12" s="1"/>
  <c r="K38" i="3"/>
  <c r="F40" i="3"/>
  <c r="E40" i="3"/>
  <c r="G40" i="3" s="1"/>
  <c r="H40" i="3" s="1"/>
  <c r="C41" i="3"/>
  <c r="K39" i="3"/>
  <c r="G83" i="3"/>
  <c r="H83" i="3" s="1"/>
  <c r="I83" i="3" s="1"/>
  <c r="C45" i="5"/>
  <c r="I44" i="5"/>
  <c r="K44" i="5" s="1"/>
  <c r="D44" i="5"/>
  <c r="E43" i="5"/>
  <c r="F43" i="5" s="1"/>
  <c r="J43" i="5"/>
  <c r="I39" i="7"/>
  <c r="G19" i="11"/>
  <c r="I19" i="11" s="1"/>
  <c r="C142" i="11"/>
  <c r="D141" i="11"/>
  <c r="D84" i="3"/>
  <c r="E84" i="3" s="1"/>
  <c r="G84" i="3" s="1"/>
  <c r="H84" i="3" s="1"/>
  <c r="I84" i="3" s="1"/>
  <c r="C85" i="3"/>
  <c r="K84" i="3"/>
  <c r="F84" i="3" s="1"/>
  <c r="C125" i="5"/>
  <c r="J124" i="5"/>
  <c r="E124" i="5"/>
  <c r="D124" i="5"/>
  <c r="I124" i="5"/>
  <c r="F123" i="5"/>
  <c r="H123" i="5" s="1"/>
  <c r="K123" i="5"/>
  <c r="M123" i="5" s="1"/>
  <c r="F40" i="2"/>
  <c r="M40" i="2"/>
  <c r="N40" i="2"/>
  <c r="P25" i="4"/>
  <c r="H25" i="4"/>
  <c r="I25" i="4" s="1"/>
  <c r="G25" i="4"/>
  <c r="L25" i="4"/>
  <c r="T39" i="2"/>
  <c r="AC39" i="2" s="1"/>
  <c r="V38" i="2"/>
  <c r="W38" i="2" s="1"/>
  <c r="X38" i="2" s="1"/>
  <c r="Y38" i="2"/>
  <c r="S41" i="2"/>
  <c r="C42" i="2"/>
  <c r="L42" i="2"/>
  <c r="Q42" i="2" s="1"/>
  <c r="D45" i="4"/>
  <c r="C46" i="4"/>
  <c r="K39" i="7"/>
  <c r="L39" i="7"/>
  <c r="M39" i="7" s="1"/>
  <c r="N39" i="2"/>
  <c r="M39" i="2"/>
  <c r="F39" i="2"/>
  <c r="AB40" i="2"/>
  <c r="N21" i="6"/>
  <c r="O21" i="6" s="1"/>
  <c r="E40" i="7"/>
  <c r="F40" i="7"/>
  <c r="G40" i="7" s="1"/>
  <c r="C41" i="7"/>
  <c r="D47" i="8"/>
  <c r="E46" i="8"/>
  <c r="F46" i="8" s="1"/>
  <c r="D41" i="2"/>
  <c r="E41" i="2" s="1"/>
  <c r="R40" i="2"/>
  <c r="AA40" i="2" s="1"/>
  <c r="K48" i="8"/>
  <c r="L48" i="8" s="1"/>
  <c r="G49" i="8" s="1"/>
  <c r="N28" i="12" l="1"/>
  <c r="F29" i="12" s="1"/>
  <c r="G29" i="12" s="1"/>
  <c r="J29" i="12" s="1"/>
  <c r="K29" i="12" s="1"/>
  <c r="E29" i="12" s="1"/>
  <c r="K40" i="3"/>
  <c r="E41" i="3"/>
  <c r="F41" i="3"/>
  <c r="C42" i="3"/>
  <c r="J44" i="5"/>
  <c r="E44" i="5"/>
  <c r="F44" i="5" s="1"/>
  <c r="D45" i="5"/>
  <c r="I45" i="5"/>
  <c r="K45" i="5" s="1"/>
  <c r="C46" i="5"/>
  <c r="C143" i="11"/>
  <c r="D142" i="11"/>
  <c r="H19" i="11"/>
  <c r="J19" i="11" s="1"/>
  <c r="N19" i="11"/>
  <c r="C86" i="3"/>
  <c r="D85" i="3"/>
  <c r="E85" i="3" s="1"/>
  <c r="K85" i="3"/>
  <c r="F85" i="3" s="1"/>
  <c r="T40" i="2"/>
  <c r="AC40" i="2" s="1"/>
  <c r="J25" i="4"/>
  <c r="K25" i="4" s="1"/>
  <c r="F124" i="5"/>
  <c r="H124" i="5" s="1"/>
  <c r="K124" i="5"/>
  <c r="M124" i="5" s="1"/>
  <c r="I125" i="5"/>
  <c r="D125" i="5"/>
  <c r="J125" i="5"/>
  <c r="C126" i="5"/>
  <c r="E125" i="5"/>
  <c r="I40" i="7"/>
  <c r="K49" i="8"/>
  <c r="L49" i="8" s="1"/>
  <c r="G50" i="8" s="1"/>
  <c r="F41" i="2"/>
  <c r="M41" i="2"/>
  <c r="N41" i="2"/>
  <c r="U39" i="2"/>
  <c r="H39" i="2"/>
  <c r="I39" i="2" s="1"/>
  <c r="L40" i="7"/>
  <c r="M40" i="7" s="1"/>
  <c r="K40" i="7"/>
  <c r="AB41" i="2"/>
  <c r="D42" i="2"/>
  <c r="R41" i="2"/>
  <c r="AA41" i="2" s="1"/>
  <c r="P21" i="6"/>
  <c r="H22" i="6" s="1"/>
  <c r="R22" i="6" s="1"/>
  <c r="G22" i="6"/>
  <c r="AD39" i="2"/>
  <c r="AE39" i="2" s="1"/>
  <c r="AF39" i="2" s="1"/>
  <c r="AG39" i="2" s="1"/>
  <c r="O39" i="2"/>
  <c r="D46" i="4"/>
  <c r="C47" i="4"/>
  <c r="U40" i="2"/>
  <c r="H40" i="2"/>
  <c r="I40" i="2" s="1"/>
  <c r="F41" i="7"/>
  <c r="G41" i="7" s="1"/>
  <c r="E41" i="7"/>
  <c r="C42" i="7"/>
  <c r="D48" i="8"/>
  <c r="E47" i="8"/>
  <c r="F47" i="8" s="1"/>
  <c r="L43" i="2"/>
  <c r="Q43" i="2" s="1"/>
  <c r="C43" i="2"/>
  <c r="S42" i="2"/>
  <c r="E42" i="2"/>
  <c r="Q25" i="4"/>
  <c r="R25" i="4" s="1"/>
  <c r="AD40" i="2"/>
  <c r="AE40" i="2" s="1"/>
  <c r="AF40" i="2" s="1"/>
  <c r="AG40" i="2" s="1"/>
  <c r="O40" i="2"/>
  <c r="N29" i="12" l="1"/>
  <c r="H29" i="12"/>
  <c r="I29" i="12" s="1"/>
  <c r="L29" i="12" s="1"/>
  <c r="E42" i="3"/>
  <c r="G42" i="3" s="1"/>
  <c r="H42" i="3" s="1"/>
  <c r="F42" i="3"/>
  <c r="G41" i="3"/>
  <c r="H41" i="3" s="1"/>
  <c r="I46" i="5"/>
  <c r="K46" i="5" s="1"/>
  <c r="C47" i="5"/>
  <c r="D46" i="5"/>
  <c r="J45" i="5"/>
  <c r="E45" i="5"/>
  <c r="F45" i="5" s="1"/>
  <c r="K19" i="11"/>
  <c r="L19" i="11" s="1"/>
  <c r="C144" i="11"/>
  <c r="D143" i="11"/>
  <c r="C127" i="5"/>
  <c r="I126" i="5"/>
  <c r="J126" i="5"/>
  <c r="E126" i="5"/>
  <c r="D126" i="5"/>
  <c r="M25" i="4"/>
  <c r="F26" i="4" s="1"/>
  <c r="E26" i="4"/>
  <c r="I41" i="7"/>
  <c r="K125" i="5"/>
  <c r="M125" i="5" s="1"/>
  <c r="F125" i="5"/>
  <c r="H125" i="5" s="1"/>
  <c r="G85" i="3"/>
  <c r="H85" i="3" s="1"/>
  <c r="I85" i="3" s="1"/>
  <c r="C87" i="3"/>
  <c r="D86" i="3"/>
  <c r="E86" i="3" s="1"/>
  <c r="K86" i="3"/>
  <c r="F86" i="3" s="1"/>
  <c r="K50" i="8"/>
  <c r="L50" i="8" s="1"/>
  <c r="G51" i="8" s="1"/>
  <c r="AD41" i="2"/>
  <c r="AE41" i="2" s="1"/>
  <c r="AF41" i="2" s="1"/>
  <c r="O41" i="2"/>
  <c r="AB42" i="2"/>
  <c r="K41" i="7"/>
  <c r="L41" i="7"/>
  <c r="M41" i="7" s="1"/>
  <c r="D43" i="2"/>
  <c r="E43" i="2" s="1"/>
  <c r="R42" i="2"/>
  <c r="AA42" i="2" s="1"/>
  <c r="D49" i="8"/>
  <c r="E48" i="8"/>
  <c r="F48" i="8" s="1"/>
  <c r="K40" i="2"/>
  <c r="K39" i="2"/>
  <c r="U41" i="2"/>
  <c r="H41" i="2"/>
  <c r="I41" i="2" s="1"/>
  <c r="C44" i="2"/>
  <c r="S43" i="2"/>
  <c r="L44" i="2"/>
  <c r="Q44" i="2" s="1"/>
  <c r="T41" i="2"/>
  <c r="AC41" i="2" s="1"/>
  <c r="N42" i="2"/>
  <c r="F42" i="2"/>
  <c r="M42" i="2"/>
  <c r="V40" i="2"/>
  <c r="W40" i="2" s="1"/>
  <c r="X40" i="2" s="1"/>
  <c r="Y40" i="2"/>
  <c r="C48" i="4"/>
  <c r="D47" i="4"/>
  <c r="I22" i="6"/>
  <c r="V39" i="2"/>
  <c r="W39" i="2" s="1"/>
  <c r="X39" i="2" s="1"/>
  <c r="Y39" i="2"/>
  <c r="E42" i="7"/>
  <c r="F42" i="7"/>
  <c r="G42" i="7" s="1"/>
  <c r="I42" i="7" s="1"/>
  <c r="C43" i="7"/>
  <c r="F30" i="12" l="1"/>
  <c r="G30" i="12" s="1"/>
  <c r="J30" i="12" s="1"/>
  <c r="K30" i="12" s="1"/>
  <c r="K41" i="3"/>
  <c r="K42" i="3"/>
  <c r="M19" i="11"/>
  <c r="E20" i="11" s="1"/>
  <c r="F20" i="11" s="1"/>
  <c r="G20" i="11" s="1"/>
  <c r="I20" i="11" s="1"/>
  <c r="G86" i="3"/>
  <c r="H86" i="3" s="1"/>
  <c r="I86" i="3" s="1"/>
  <c r="J46" i="5"/>
  <c r="E46" i="5"/>
  <c r="F46" i="5" s="1"/>
  <c r="I47" i="5"/>
  <c r="K47" i="5" s="1"/>
  <c r="C48" i="5"/>
  <c r="D47" i="5"/>
  <c r="C145" i="11"/>
  <c r="D144" i="11"/>
  <c r="K87" i="3"/>
  <c r="F87" i="3" s="1"/>
  <c r="C88" i="3"/>
  <c r="D87" i="3"/>
  <c r="E87" i="3" s="1"/>
  <c r="G87" i="3" s="1"/>
  <c r="H87" i="3" s="1"/>
  <c r="I87" i="3" s="1"/>
  <c r="L26" i="4"/>
  <c r="G26" i="4"/>
  <c r="H26" i="4"/>
  <c r="I26" i="4" s="1"/>
  <c r="P26" i="4"/>
  <c r="F126" i="5"/>
  <c r="H126" i="5" s="1"/>
  <c r="K126" i="5"/>
  <c r="M126" i="5" s="1"/>
  <c r="I127" i="5"/>
  <c r="J127" i="5"/>
  <c r="E127" i="5"/>
  <c r="D127" i="5"/>
  <c r="C128" i="5"/>
  <c r="K51" i="8"/>
  <c r="L51" i="8" s="1"/>
  <c r="G52" i="8" s="1"/>
  <c r="E43" i="7"/>
  <c r="F43" i="7"/>
  <c r="G43" i="7" s="1"/>
  <c r="C44" i="7"/>
  <c r="K22" i="6"/>
  <c r="L22" i="6" s="1"/>
  <c r="J22" i="6"/>
  <c r="N43" i="2"/>
  <c r="M43" i="2"/>
  <c r="F43" i="2"/>
  <c r="K41" i="2"/>
  <c r="V41" i="2"/>
  <c r="W41" i="2" s="1"/>
  <c r="X41" i="2" s="1"/>
  <c r="Y41" i="2"/>
  <c r="T42" i="2"/>
  <c r="AC42" i="2" s="1"/>
  <c r="AG41" i="2"/>
  <c r="D48" i="4"/>
  <c r="C49" i="4"/>
  <c r="U42" i="2"/>
  <c r="H42" i="2"/>
  <c r="I42" i="2" s="1"/>
  <c r="K42" i="2" s="1"/>
  <c r="AB43" i="2"/>
  <c r="E49" i="8"/>
  <c r="F49" i="8" s="1"/>
  <c r="D50" i="8"/>
  <c r="K42" i="7"/>
  <c r="L42" i="7"/>
  <c r="M42" i="7" s="1"/>
  <c r="AD42" i="2"/>
  <c r="AE42" i="2" s="1"/>
  <c r="AF42" i="2" s="1"/>
  <c r="O42" i="2"/>
  <c r="S44" i="2"/>
  <c r="C45" i="2"/>
  <c r="L45" i="2"/>
  <c r="Q45" i="2" s="1"/>
  <c r="D44" i="2"/>
  <c r="E44" i="2" s="1"/>
  <c r="R43" i="2"/>
  <c r="AA43" i="2" s="1"/>
  <c r="E30" i="12" l="1"/>
  <c r="H30" i="12" s="1"/>
  <c r="I30" i="12" s="1"/>
  <c r="L30" i="12" s="1"/>
  <c r="N30" i="12"/>
  <c r="J47" i="5"/>
  <c r="E47" i="5"/>
  <c r="F47" i="5" s="1"/>
  <c r="J26" i="4"/>
  <c r="K26" i="4" s="1"/>
  <c r="M26" i="4" s="1"/>
  <c r="F27" i="4" s="1"/>
  <c r="G27" i="4" s="1"/>
  <c r="D48" i="5"/>
  <c r="I48" i="5"/>
  <c r="K48" i="5" s="1"/>
  <c r="C49" i="5"/>
  <c r="N20" i="11"/>
  <c r="H20" i="11"/>
  <c r="J20" i="11" s="1"/>
  <c r="C146" i="11"/>
  <c r="D145" i="11"/>
  <c r="F127" i="5"/>
  <c r="H127" i="5" s="1"/>
  <c r="K127" i="5"/>
  <c r="M127" i="5" s="1"/>
  <c r="H27" i="4"/>
  <c r="I27" i="4" s="1"/>
  <c r="J27" i="4" s="1"/>
  <c r="K27" i="4" s="1"/>
  <c r="Q26" i="4"/>
  <c r="R26" i="4" s="1"/>
  <c r="D128" i="5"/>
  <c r="C129" i="5"/>
  <c r="J128" i="5"/>
  <c r="E128" i="5"/>
  <c r="I128" i="5"/>
  <c r="P27" i="4"/>
  <c r="AG42" i="2"/>
  <c r="L27" i="4"/>
  <c r="M27" i="4" s="1"/>
  <c r="F28" i="4" s="1"/>
  <c r="I43" i="7"/>
  <c r="E27" i="4"/>
  <c r="K88" i="3"/>
  <c r="F88" i="3" s="1"/>
  <c r="D88" i="3"/>
  <c r="E88" i="3" s="1"/>
  <c r="G88" i="3" s="1"/>
  <c r="H88" i="3" s="1"/>
  <c r="I88" i="3" s="1"/>
  <c r="C89" i="3"/>
  <c r="K52" i="8"/>
  <c r="L52" i="8" s="1"/>
  <c r="G53" i="8" s="1"/>
  <c r="L46" i="2"/>
  <c r="Q46" i="2" s="1"/>
  <c r="S45" i="2"/>
  <c r="C46" i="2"/>
  <c r="Q27" i="4"/>
  <c r="V42" i="2"/>
  <c r="W42" i="2" s="1"/>
  <c r="X42" i="2" s="1"/>
  <c r="Y42" i="2"/>
  <c r="D45" i="2"/>
  <c r="R44" i="2"/>
  <c r="AA44" i="2" s="1"/>
  <c r="T43" i="2"/>
  <c r="AC43" i="2" s="1"/>
  <c r="AD43" i="2"/>
  <c r="AE43" i="2" s="1"/>
  <c r="AF43" i="2" s="1"/>
  <c r="O43" i="2"/>
  <c r="N22" i="6"/>
  <c r="O22" i="6" s="1"/>
  <c r="L43" i="7"/>
  <c r="M43" i="7" s="1"/>
  <c r="K43" i="7"/>
  <c r="N44" i="2"/>
  <c r="M44" i="2"/>
  <c r="F44" i="2"/>
  <c r="C50" i="4"/>
  <c r="D49" i="4"/>
  <c r="E44" i="7"/>
  <c r="F44" i="7"/>
  <c r="G44" i="7" s="1"/>
  <c r="AB44" i="2"/>
  <c r="D51" i="8"/>
  <c r="E50" i="8"/>
  <c r="F50" i="8" s="1"/>
  <c r="U43" i="2"/>
  <c r="H43" i="2"/>
  <c r="I43" i="2" s="1"/>
  <c r="K43" i="2" s="1"/>
  <c r="F31" i="12" l="1"/>
  <c r="G31" i="12" s="1"/>
  <c r="J31" i="12"/>
  <c r="K31" i="12" s="1"/>
  <c r="E31" i="12" s="1"/>
  <c r="H31" i="12" s="1"/>
  <c r="I31" i="12" s="1"/>
  <c r="L31" i="12" s="1"/>
  <c r="N31" i="12"/>
  <c r="C50" i="5"/>
  <c r="I49" i="5"/>
  <c r="K49" i="5" s="1"/>
  <c r="D49" i="5"/>
  <c r="J48" i="5"/>
  <c r="E48" i="5"/>
  <c r="F48" i="5" s="1"/>
  <c r="R27" i="4"/>
  <c r="E28" i="4"/>
  <c r="C147" i="11"/>
  <c r="D146" i="11"/>
  <c r="K20" i="11"/>
  <c r="L20" i="11" s="1"/>
  <c r="K128" i="5"/>
  <c r="M128" i="5" s="1"/>
  <c r="F128" i="5"/>
  <c r="H128" i="5" s="1"/>
  <c r="J129" i="5"/>
  <c r="E129" i="5"/>
  <c r="C130" i="5"/>
  <c r="I129" i="5"/>
  <c r="D129" i="5"/>
  <c r="C90" i="3"/>
  <c r="D89" i="3"/>
  <c r="E89" i="3" s="1"/>
  <c r="K89" i="3"/>
  <c r="F89" i="3" s="1"/>
  <c r="AG43" i="2"/>
  <c r="K53" i="8"/>
  <c r="L53" i="8" s="1"/>
  <c r="G54" i="8" s="1"/>
  <c r="D50" i="4"/>
  <c r="C51" i="4"/>
  <c r="P22" i="6"/>
  <c r="H23" i="6" s="1"/>
  <c r="R23" i="6" s="1"/>
  <c r="G23" i="6"/>
  <c r="V43" i="2"/>
  <c r="W43" i="2" s="1"/>
  <c r="X43" i="2" s="1"/>
  <c r="Y43" i="2"/>
  <c r="I44" i="7"/>
  <c r="U44" i="2"/>
  <c r="H44" i="2"/>
  <c r="I44" i="2" s="1"/>
  <c r="AB45" i="2"/>
  <c r="E51" i="8"/>
  <c r="F51" i="8" s="1"/>
  <c r="D52" i="8"/>
  <c r="K44" i="7"/>
  <c r="L44" i="7"/>
  <c r="M44" i="7" s="1"/>
  <c r="G28" i="4"/>
  <c r="P28" i="4"/>
  <c r="L28" i="4"/>
  <c r="H28" i="4"/>
  <c r="I28" i="4" s="1"/>
  <c r="T44" i="2"/>
  <c r="AC44" i="2" s="1"/>
  <c r="AD44" i="2"/>
  <c r="AE44" i="2" s="1"/>
  <c r="AF44" i="2" s="1"/>
  <c r="O44" i="2"/>
  <c r="D46" i="2"/>
  <c r="R45" i="2"/>
  <c r="AA45" i="2" s="1"/>
  <c r="E45" i="2"/>
  <c r="K44" i="2"/>
  <c r="C47" i="2"/>
  <c r="S46" i="2"/>
  <c r="L47" i="2"/>
  <c r="Q47" i="2" s="1"/>
  <c r="F32" i="12" l="1"/>
  <c r="G32" i="12" s="1"/>
  <c r="J32" i="12" s="1"/>
  <c r="K32" i="12" s="1"/>
  <c r="E32" i="12" s="1"/>
  <c r="N32" i="12"/>
  <c r="J28" i="4"/>
  <c r="K28" i="4" s="1"/>
  <c r="T45" i="2"/>
  <c r="AC45" i="2" s="1"/>
  <c r="E49" i="5"/>
  <c r="F49" i="5" s="1"/>
  <c r="J49" i="5"/>
  <c r="AG44" i="2"/>
  <c r="C51" i="5"/>
  <c r="I50" i="5"/>
  <c r="K50" i="5" s="1"/>
  <c r="D50" i="5"/>
  <c r="M20" i="11"/>
  <c r="E21" i="11" s="1"/>
  <c r="F21" i="11" s="1"/>
  <c r="C148" i="11"/>
  <c r="D147" i="11"/>
  <c r="G89" i="3"/>
  <c r="H89" i="3" s="1"/>
  <c r="I89" i="3" s="1"/>
  <c r="F129" i="5"/>
  <c r="H129" i="5" s="1"/>
  <c r="K129" i="5"/>
  <c r="M129" i="5" s="1"/>
  <c r="D90" i="3"/>
  <c r="E90" i="3" s="1"/>
  <c r="K90" i="3"/>
  <c r="F90" i="3" s="1"/>
  <c r="C91" i="3"/>
  <c r="E130" i="5"/>
  <c r="C131" i="5"/>
  <c r="D130" i="5"/>
  <c r="I130" i="5"/>
  <c r="J130" i="5"/>
  <c r="R46" i="2"/>
  <c r="AA46" i="2" s="1"/>
  <c r="D47" i="2"/>
  <c r="E46" i="2"/>
  <c r="AB46" i="2"/>
  <c r="E52" i="8"/>
  <c r="F52" i="8" s="1"/>
  <c r="D53" i="8"/>
  <c r="L48" i="2"/>
  <c r="Q48" i="2" s="1"/>
  <c r="E47" i="2"/>
  <c r="S47" i="2"/>
  <c r="C48" i="2"/>
  <c r="Q28" i="4"/>
  <c r="R28" i="4" s="1"/>
  <c r="V44" i="2"/>
  <c r="W44" i="2" s="1"/>
  <c r="X44" i="2" s="1"/>
  <c r="Y44" i="2"/>
  <c r="I23" i="6"/>
  <c r="M28" i="4"/>
  <c r="F29" i="4" s="1"/>
  <c r="E29" i="4"/>
  <c r="D51" i="4"/>
  <c r="C52" i="4"/>
  <c r="M45" i="2"/>
  <c r="F45" i="2"/>
  <c r="N45" i="2"/>
  <c r="K54" i="8"/>
  <c r="L54" i="8" s="1"/>
  <c r="G55" i="8" s="1"/>
  <c r="H32" i="12" l="1"/>
  <c r="I32" i="12" s="1"/>
  <c r="L32" i="12" s="1"/>
  <c r="F33" i="12" s="1"/>
  <c r="G33" i="12" s="1"/>
  <c r="C52" i="5"/>
  <c r="I51" i="5"/>
  <c r="K51" i="5" s="1"/>
  <c r="D51" i="5"/>
  <c r="J50" i="5"/>
  <c r="E50" i="5"/>
  <c r="F50" i="5" s="1"/>
  <c r="C149" i="11"/>
  <c r="D148" i="11"/>
  <c r="G21" i="11"/>
  <c r="I21" i="11" s="1"/>
  <c r="G90" i="3"/>
  <c r="H90" i="3" s="1"/>
  <c r="I90" i="3" s="1"/>
  <c r="T46" i="2"/>
  <c r="AC46" i="2" s="1"/>
  <c r="J131" i="5"/>
  <c r="I131" i="5"/>
  <c r="C132" i="5"/>
  <c r="E131" i="5"/>
  <c r="D131" i="5"/>
  <c r="K91" i="3"/>
  <c r="F91" i="3" s="1"/>
  <c r="C92" i="3"/>
  <c r="D91" i="3"/>
  <c r="E91" i="3" s="1"/>
  <c r="K130" i="5"/>
  <c r="M130" i="5" s="1"/>
  <c r="F130" i="5"/>
  <c r="H130" i="5" s="1"/>
  <c r="C49" i="2"/>
  <c r="S48" i="2"/>
  <c r="L49" i="2"/>
  <c r="Q49" i="2" s="1"/>
  <c r="E53" i="8"/>
  <c r="F53" i="8" s="1"/>
  <c r="D54" i="8"/>
  <c r="M46" i="2"/>
  <c r="F46" i="2"/>
  <c r="N46" i="2"/>
  <c r="K55" i="8"/>
  <c r="L55" i="8" s="1"/>
  <c r="G56" i="8" s="1"/>
  <c r="AD45" i="2"/>
  <c r="AE45" i="2" s="1"/>
  <c r="AF45" i="2" s="1"/>
  <c r="AG45" i="2" s="1"/>
  <c r="O45" i="2"/>
  <c r="AB47" i="2"/>
  <c r="D48" i="2"/>
  <c r="E48" i="2" s="1"/>
  <c r="R47" i="2"/>
  <c r="AA47" i="2" s="1"/>
  <c r="D52" i="4"/>
  <c r="C53" i="4"/>
  <c r="J23" i="6"/>
  <c r="K23" i="6"/>
  <c r="L23" i="6" s="1"/>
  <c r="P29" i="4"/>
  <c r="L29" i="4"/>
  <c r="H29" i="4"/>
  <c r="I29" i="4" s="1"/>
  <c r="G29" i="4"/>
  <c r="U45" i="2"/>
  <c r="H45" i="2"/>
  <c r="I45" i="2" s="1"/>
  <c r="F47" i="2"/>
  <c r="M47" i="2"/>
  <c r="N47" i="2"/>
  <c r="J33" i="12" l="1"/>
  <c r="K33" i="12" s="1"/>
  <c r="E33" i="12" s="1"/>
  <c r="N33" i="12"/>
  <c r="G91" i="3"/>
  <c r="H91" i="3" s="1"/>
  <c r="I91" i="3" s="1"/>
  <c r="N23" i="6"/>
  <c r="O23" i="6" s="1"/>
  <c r="E51" i="5"/>
  <c r="F51" i="5" s="1"/>
  <c r="J51" i="5"/>
  <c r="J29" i="4"/>
  <c r="K29" i="4" s="1"/>
  <c r="M29" i="4" s="1"/>
  <c r="F30" i="4" s="1"/>
  <c r="D52" i="5"/>
  <c r="I52" i="5"/>
  <c r="K52" i="5" s="1"/>
  <c r="C53" i="5"/>
  <c r="H21" i="11"/>
  <c r="J21" i="11" s="1"/>
  <c r="N21" i="11"/>
  <c r="C150" i="11"/>
  <c r="D149" i="11"/>
  <c r="F131" i="5"/>
  <c r="H131" i="5" s="1"/>
  <c r="K131" i="5"/>
  <c r="M131" i="5" s="1"/>
  <c r="T47" i="2"/>
  <c r="AC47" i="2" s="1"/>
  <c r="I132" i="5"/>
  <c r="J132" i="5"/>
  <c r="E132" i="5"/>
  <c r="D132" i="5"/>
  <c r="C133" i="5"/>
  <c r="D92" i="3"/>
  <c r="E92" i="3" s="1"/>
  <c r="C93" i="3"/>
  <c r="K92" i="3"/>
  <c r="F92" i="3" s="1"/>
  <c r="H30" i="4"/>
  <c r="I30" i="4" s="1"/>
  <c r="L30" i="4"/>
  <c r="P30" i="4"/>
  <c r="G30" i="4"/>
  <c r="F48" i="2"/>
  <c r="M48" i="2"/>
  <c r="N48" i="2"/>
  <c r="K56" i="8"/>
  <c r="L56" i="8" s="1"/>
  <c r="G57" i="8" s="1"/>
  <c r="Q29" i="4"/>
  <c r="R29" i="4" s="1"/>
  <c r="C54" i="4"/>
  <c r="D53" i="4"/>
  <c r="C50" i="2"/>
  <c r="L50" i="2"/>
  <c r="Q50" i="2" s="1"/>
  <c r="S49" i="2"/>
  <c r="U47" i="2"/>
  <c r="H47" i="2"/>
  <c r="K45" i="2"/>
  <c r="E30" i="4"/>
  <c r="E54" i="8"/>
  <c r="F54" i="8" s="1"/>
  <c r="D55" i="8"/>
  <c r="G24" i="6"/>
  <c r="P23" i="6"/>
  <c r="H24" i="6" s="1"/>
  <c r="R24" i="6" s="1"/>
  <c r="AD46" i="2"/>
  <c r="AE46" i="2" s="1"/>
  <c r="AF46" i="2" s="1"/>
  <c r="AG46" i="2" s="1"/>
  <c r="O46" i="2"/>
  <c r="V45" i="2"/>
  <c r="W45" i="2" s="1"/>
  <c r="X45" i="2" s="1"/>
  <c r="Y45" i="2"/>
  <c r="AD47" i="2"/>
  <c r="AE47" i="2" s="1"/>
  <c r="AF47" i="2" s="1"/>
  <c r="AG47" i="2" s="1"/>
  <c r="O47" i="2"/>
  <c r="D49" i="2"/>
  <c r="R48" i="2"/>
  <c r="AA48" i="2" s="1"/>
  <c r="U46" i="2"/>
  <c r="H46" i="2"/>
  <c r="I46" i="2" s="1"/>
  <c r="AB48" i="2"/>
  <c r="H33" i="12" l="1"/>
  <c r="I33" i="12" s="1"/>
  <c r="L33" i="12" s="1"/>
  <c r="F34" i="12" s="1"/>
  <c r="G34" i="12" s="1"/>
  <c r="C54" i="5"/>
  <c r="D53" i="5"/>
  <c r="I53" i="5"/>
  <c r="K53" i="5" s="1"/>
  <c r="E52" i="5"/>
  <c r="F52" i="5" s="1"/>
  <c r="J52" i="5"/>
  <c r="C151" i="11"/>
  <c r="D150" i="11"/>
  <c r="K21" i="11"/>
  <c r="L21" i="11" s="1"/>
  <c r="F132" i="5"/>
  <c r="H132" i="5" s="1"/>
  <c r="K132" i="5"/>
  <c r="M132" i="5" s="1"/>
  <c r="C94" i="3"/>
  <c r="D93" i="3"/>
  <c r="E93" i="3" s="1"/>
  <c r="K93" i="3"/>
  <c r="F93" i="3" s="1"/>
  <c r="T48" i="2"/>
  <c r="AC48" i="2" s="1"/>
  <c r="G92" i="3"/>
  <c r="H92" i="3" s="1"/>
  <c r="I92" i="3" s="1"/>
  <c r="C134" i="5"/>
  <c r="E133" i="5"/>
  <c r="D133" i="5"/>
  <c r="J133" i="5"/>
  <c r="I133" i="5"/>
  <c r="E55" i="8"/>
  <c r="F55" i="8" s="1"/>
  <c r="D56" i="8"/>
  <c r="K46" i="2"/>
  <c r="AB49" i="2"/>
  <c r="I24" i="6"/>
  <c r="I47" i="2"/>
  <c r="R49" i="2"/>
  <c r="AA49" i="2" s="1"/>
  <c r="D50" i="2"/>
  <c r="V47" i="2"/>
  <c r="W47" i="2" s="1"/>
  <c r="X47" i="2" s="1"/>
  <c r="Y47" i="2"/>
  <c r="E49" i="2"/>
  <c r="C55" i="4"/>
  <c r="D54" i="4"/>
  <c r="U48" i="2"/>
  <c r="H48" i="2"/>
  <c r="I48" i="2" s="1"/>
  <c r="L51" i="2"/>
  <c r="Q51" i="2" s="1"/>
  <c r="C51" i="2"/>
  <c r="S50" i="2"/>
  <c r="E50" i="2"/>
  <c r="K57" i="8"/>
  <c r="L57" i="8" s="1"/>
  <c r="G58" i="8" s="1"/>
  <c r="K58" i="8" s="1"/>
  <c r="L58" i="8" s="1"/>
  <c r="Q30" i="4"/>
  <c r="R30" i="4" s="1"/>
  <c r="V46" i="2"/>
  <c r="W46" i="2" s="1"/>
  <c r="X46" i="2" s="1"/>
  <c r="Y46" i="2"/>
  <c r="AD48" i="2"/>
  <c r="AE48" i="2" s="1"/>
  <c r="AF48" i="2" s="1"/>
  <c r="O48" i="2"/>
  <c r="J30" i="4"/>
  <c r="K30" i="4" s="1"/>
  <c r="M30" i="4" s="1"/>
  <c r="F31" i="4" s="1"/>
  <c r="M21" i="11" l="1"/>
  <c r="E22" i="11" s="1"/>
  <c r="F22" i="11" s="1"/>
  <c r="G22" i="11" s="1"/>
  <c r="I22" i="11" s="1"/>
  <c r="E53" i="5"/>
  <c r="F53" i="5" s="1"/>
  <c r="J53" i="5"/>
  <c r="I54" i="5"/>
  <c r="K54" i="5" s="1"/>
  <c r="C55" i="5"/>
  <c r="D54" i="5"/>
  <c r="C152" i="11"/>
  <c r="D151" i="11"/>
  <c r="G93" i="3"/>
  <c r="H93" i="3" s="1"/>
  <c r="I93" i="3" s="1"/>
  <c r="AG48" i="2"/>
  <c r="K133" i="5"/>
  <c r="M133" i="5" s="1"/>
  <c r="F133" i="5"/>
  <c r="H133" i="5" s="1"/>
  <c r="C95" i="3"/>
  <c r="K94" i="3"/>
  <c r="F94" i="3" s="1"/>
  <c r="D94" i="3"/>
  <c r="E94" i="3" s="1"/>
  <c r="C135" i="5"/>
  <c r="J134" i="5"/>
  <c r="I134" i="5"/>
  <c r="D134" i="5"/>
  <c r="E134" i="5"/>
  <c r="P31" i="4"/>
  <c r="L31" i="4"/>
  <c r="G31" i="4"/>
  <c r="H31" i="4"/>
  <c r="I31" i="4" s="1"/>
  <c r="AB50" i="2"/>
  <c r="C56" i="4"/>
  <c r="D55" i="4"/>
  <c r="E31" i="4"/>
  <c r="E56" i="8"/>
  <c r="F56" i="8" s="1"/>
  <c r="D57" i="8"/>
  <c r="M49" i="2"/>
  <c r="F49" i="2"/>
  <c r="N49" i="2"/>
  <c r="T49" i="2"/>
  <c r="AC49" i="2" s="1"/>
  <c r="S51" i="2"/>
  <c r="L52" i="2"/>
  <c r="Q52" i="2" s="1"/>
  <c r="C52" i="2"/>
  <c r="V48" i="2"/>
  <c r="W48" i="2" s="1"/>
  <c r="X48" i="2" s="1"/>
  <c r="Y48" i="2"/>
  <c r="K48" i="2"/>
  <c r="F50" i="2"/>
  <c r="N50" i="2"/>
  <c r="M50" i="2"/>
  <c r="R50" i="2"/>
  <c r="AA50" i="2" s="1"/>
  <c r="D51" i="2"/>
  <c r="K24" i="6"/>
  <c r="L24" i="6" s="1"/>
  <c r="J24" i="6"/>
  <c r="K47" i="2"/>
  <c r="J34" i="12" l="1"/>
  <c r="K34" i="12" s="1"/>
  <c r="E34" i="12" s="1"/>
  <c r="N34" i="12"/>
  <c r="J54" i="5"/>
  <c r="E54" i="5"/>
  <c r="F54" i="5" s="1"/>
  <c r="C56" i="5"/>
  <c r="D55" i="5"/>
  <c r="I55" i="5"/>
  <c r="K55" i="5" s="1"/>
  <c r="H22" i="11"/>
  <c r="J22" i="11" s="1"/>
  <c r="N22" i="11"/>
  <c r="C153" i="11"/>
  <c r="D152" i="11"/>
  <c r="G94" i="3"/>
  <c r="H94" i="3" s="1"/>
  <c r="I94" i="3" s="1"/>
  <c r="Q31" i="4"/>
  <c r="K134" i="5"/>
  <c r="M134" i="5" s="1"/>
  <c r="F134" i="5"/>
  <c r="H134" i="5" s="1"/>
  <c r="C96" i="3"/>
  <c r="K95" i="3"/>
  <c r="F95" i="3" s="1"/>
  <c r="D95" i="3"/>
  <c r="E95" i="3" s="1"/>
  <c r="I135" i="5"/>
  <c r="D135" i="5"/>
  <c r="J135" i="5"/>
  <c r="E135" i="5"/>
  <c r="C136" i="5"/>
  <c r="N24" i="6"/>
  <c r="O24" i="6" s="1"/>
  <c r="AB51" i="2"/>
  <c r="AD49" i="2"/>
  <c r="AE49" i="2" s="1"/>
  <c r="AF49" i="2" s="1"/>
  <c r="AG49" i="2" s="1"/>
  <c r="O49" i="2"/>
  <c r="D58" i="8"/>
  <c r="E58" i="8" s="1"/>
  <c r="F58" i="8" s="1"/>
  <c r="E57" i="8"/>
  <c r="F57" i="8" s="1"/>
  <c r="D56" i="4"/>
  <c r="C57" i="4"/>
  <c r="J31" i="4"/>
  <c r="K31" i="4" s="1"/>
  <c r="M31" i="4" s="1"/>
  <c r="F32" i="4" s="1"/>
  <c r="D52" i="2"/>
  <c r="E52" i="2" s="1"/>
  <c r="R51" i="2"/>
  <c r="AA51" i="2" s="1"/>
  <c r="E51" i="2"/>
  <c r="U49" i="2"/>
  <c r="H49" i="2"/>
  <c r="I49" i="2" s="1"/>
  <c r="U50" i="2"/>
  <c r="H50" i="2"/>
  <c r="I50" i="2" s="1"/>
  <c r="S52" i="2"/>
  <c r="L53" i="2"/>
  <c r="Q53" i="2" s="1"/>
  <c r="C53" i="2"/>
  <c r="AD50" i="2"/>
  <c r="AE50" i="2" s="1"/>
  <c r="AF50" i="2" s="1"/>
  <c r="O50" i="2"/>
  <c r="T50" i="2"/>
  <c r="AC50" i="2" s="1"/>
  <c r="R31" i="4"/>
  <c r="H34" i="12" l="1"/>
  <c r="I34" i="12" s="1"/>
  <c r="L34" i="12" s="1"/>
  <c r="F35" i="12" s="1"/>
  <c r="G35" i="12" s="1"/>
  <c r="E55" i="5"/>
  <c r="F55" i="5" s="1"/>
  <c r="J55" i="5"/>
  <c r="I56" i="5"/>
  <c r="K56" i="5" s="1"/>
  <c r="C57" i="5"/>
  <c r="D56" i="5"/>
  <c r="G95" i="3"/>
  <c r="H95" i="3" s="1"/>
  <c r="I95" i="3" s="1"/>
  <c r="C154" i="11"/>
  <c r="D153" i="11"/>
  <c r="K22" i="11"/>
  <c r="L22" i="11" s="1"/>
  <c r="J136" i="5"/>
  <c r="D136" i="5"/>
  <c r="C137" i="5"/>
  <c r="E136" i="5"/>
  <c r="I136" i="5"/>
  <c r="D96" i="3"/>
  <c r="E96" i="3" s="1"/>
  <c r="C97" i="3"/>
  <c r="K96" i="3"/>
  <c r="F96" i="3" s="1"/>
  <c r="E32" i="4"/>
  <c r="F135" i="5"/>
  <c r="H135" i="5" s="1"/>
  <c r="K135" i="5"/>
  <c r="M135" i="5" s="1"/>
  <c r="V49" i="2"/>
  <c r="W49" i="2" s="1"/>
  <c r="X49" i="2" s="1"/>
  <c r="Y49" i="2"/>
  <c r="N52" i="2"/>
  <c r="M52" i="2"/>
  <c r="F52" i="2"/>
  <c r="V50" i="2"/>
  <c r="W50" i="2" s="1"/>
  <c r="X50" i="2" s="1"/>
  <c r="Y50" i="2"/>
  <c r="T51" i="2"/>
  <c r="AC51" i="2" s="1"/>
  <c r="C54" i="2"/>
  <c r="S53" i="2"/>
  <c r="L54" i="2"/>
  <c r="Q54" i="2" s="1"/>
  <c r="AB52" i="2"/>
  <c r="K50" i="2"/>
  <c r="K49" i="2"/>
  <c r="R52" i="2"/>
  <c r="AA52" i="2" s="1"/>
  <c r="D53" i="2"/>
  <c r="E53" i="2" s="1"/>
  <c r="AG50" i="2"/>
  <c r="N51" i="2"/>
  <c r="F51" i="2"/>
  <c r="M51" i="2"/>
  <c r="H32" i="4"/>
  <c r="I32" i="4" s="1"/>
  <c r="P32" i="4"/>
  <c r="L32" i="4"/>
  <c r="G32" i="4"/>
  <c r="G25" i="6"/>
  <c r="P24" i="6"/>
  <c r="H25" i="6" s="1"/>
  <c r="R25" i="6" s="1"/>
  <c r="D57" i="4"/>
  <c r="C58" i="4"/>
  <c r="M22" i="11" l="1"/>
  <c r="E23" i="11" s="1"/>
  <c r="F23" i="11" s="1"/>
  <c r="G23" i="11" s="1"/>
  <c r="I23" i="11" s="1"/>
  <c r="J56" i="5"/>
  <c r="E56" i="5"/>
  <c r="F56" i="5" s="1"/>
  <c r="I57" i="5"/>
  <c r="K57" i="5" s="1"/>
  <c r="D57" i="5"/>
  <c r="Q32" i="4"/>
  <c r="R32" i="4" s="1"/>
  <c r="C155" i="11"/>
  <c r="D154" i="11"/>
  <c r="C98" i="3"/>
  <c r="D97" i="3"/>
  <c r="E97" i="3" s="1"/>
  <c r="K97" i="3"/>
  <c r="F97" i="3" s="1"/>
  <c r="G96" i="3"/>
  <c r="H96" i="3" s="1"/>
  <c r="I96" i="3" s="1"/>
  <c r="J32" i="4"/>
  <c r="K32" i="4" s="1"/>
  <c r="E33" i="4" s="1"/>
  <c r="J137" i="5"/>
  <c r="I137" i="5"/>
  <c r="E137" i="5"/>
  <c r="D137" i="5"/>
  <c r="C138" i="5"/>
  <c r="F136" i="5"/>
  <c r="H136" i="5" s="1"/>
  <c r="K136" i="5"/>
  <c r="M136" i="5" s="1"/>
  <c r="M53" i="2"/>
  <c r="N53" i="2"/>
  <c r="F53" i="2"/>
  <c r="AD52" i="2"/>
  <c r="AE52" i="2" s="1"/>
  <c r="AF52" i="2" s="1"/>
  <c r="O52" i="2"/>
  <c r="U51" i="2"/>
  <c r="H51" i="2"/>
  <c r="I51" i="2" s="1"/>
  <c r="R53" i="2"/>
  <c r="AA53" i="2" s="1"/>
  <c r="D54" i="2"/>
  <c r="E54" i="2" s="1"/>
  <c r="C59" i="4"/>
  <c r="D58" i="4"/>
  <c r="I25" i="6"/>
  <c r="AD51" i="2"/>
  <c r="AE51" i="2" s="1"/>
  <c r="AF51" i="2" s="1"/>
  <c r="AG51" i="2" s="1"/>
  <c r="O51" i="2"/>
  <c r="T52" i="2"/>
  <c r="AC52" i="2" s="1"/>
  <c r="AB53" i="2"/>
  <c r="U52" i="2"/>
  <c r="H52" i="2"/>
  <c r="I52" i="2" s="1"/>
  <c r="C55" i="2"/>
  <c r="L55" i="2"/>
  <c r="Q55" i="2" s="1"/>
  <c r="S54" i="2"/>
  <c r="J35" i="12" l="1"/>
  <c r="K35" i="12" s="1"/>
  <c r="E35" i="12" s="1"/>
  <c r="N35" i="12"/>
  <c r="E57" i="5"/>
  <c r="F57" i="5" s="1"/>
  <c r="J57" i="5"/>
  <c r="T53" i="2"/>
  <c r="AC53" i="2" s="1"/>
  <c r="C156" i="11"/>
  <c r="D155" i="11"/>
  <c r="H23" i="11"/>
  <c r="J23" i="11" s="1"/>
  <c r="N23" i="11"/>
  <c r="F137" i="5"/>
  <c r="H137" i="5" s="1"/>
  <c r="K137" i="5"/>
  <c r="M137" i="5" s="1"/>
  <c r="M32" i="4"/>
  <c r="F33" i="4" s="1"/>
  <c r="H33" i="4" s="1"/>
  <c r="I33" i="4" s="1"/>
  <c r="G97" i="3"/>
  <c r="H97" i="3" s="1"/>
  <c r="I97" i="3" s="1"/>
  <c r="D98" i="3"/>
  <c r="E98" i="3" s="1"/>
  <c r="C99" i="3"/>
  <c r="K98" i="3"/>
  <c r="F98" i="3" s="1"/>
  <c r="D138" i="5"/>
  <c r="E138" i="5"/>
  <c r="J138" i="5"/>
  <c r="C139" i="5"/>
  <c r="I138" i="5"/>
  <c r="V52" i="2"/>
  <c r="W52" i="2" s="1"/>
  <c r="X52" i="2" s="1"/>
  <c r="Y52" i="2"/>
  <c r="N54" i="2"/>
  <c r="M54" i="2"/>
  <c r="F54" i="2"/>
  <c r="V51" i="2"/>
  <c r="W51" i="2" s="1"/>
  <c r="X51" i="2" s="1"/>
  <c r="Y51" i="2"/>
  <c r="U53" i="2"/>
  <c r="H53" i="2"/>
  <c r="I53" i="2" s="1"/>
  <c r="K53" i="2" s="1"/>
  <c r="AB54" i="2"/>
  <c r="P33" i="4"/>
  <c r="R54" i="2"/>
  <c r="AA54" i="2" s="1"/>
  <c r="D55" i="2"/>
  <c r="E55" i="2" s="1"/>
  <c r="AD53" i="2"/>
  <c r="AE53" i="2" s="1"/>
  <c r="AF53" i="2" s="1"/>
  <c r="O53" i="2"/>
  <c r="C56" i="2"/>
  <c r="L56" i="2"/>
  <c r="Q56" i="2" s="1"/>
  <c r="S55" i="2"/>
  <c r="J25" i="6"/>
  <c r="K25" i="6"/>
  <c r="L25" i="6" s="1"/>
  <c r="N25" i="6" s="1"/>
  <c r="O25" i="6" s="1"/>
  <c r="AG52" i="2"/>
  <c r="C60" i="4"/>
  <c r="D59" i="4"/>
  <c r="K52" i="2"/>
  <c r="K51" i="2"/>
  <c r="H35" i="12" l="1"/>
  <c r="I35" i="12" s="1"/>
  <c r="L35" i="12" s="1"/>
  <c r="F36" i="12" s="1"/>
  <c r="G36" i="12" s="1"/>
  <c r="G33" i="4"/>
  <c r="J33" i="4" s="1"/>
  <c r="K33" i="4" s="1"/>
  <c r="T54" i="2"/>
  <c r="AC54" i="2" s="1"/>
  <c r="AG53" i="2"/>
  <c r="K23" i="11"/>
  <c r="L23" i="11" s="1"/>
  <c r="C157" i="11"/>
  <c r="D156" i="11"/>
  <c r="D99" i="3"/>
  <c r="E99" i="3" s="1"/>
  <c r="K99" i="3"/>
  <c r="F99" i="3" s="1"/>
  <c r="G98" i="3"/>
  <c r="H98" i="3" s="1"/>
  <c r="I98" i="3" s="1"/>
  <c r="L33" i="4"/>
  <c r="C140" i="5"/>
  <c r="D139" i="5"/>
  <c r="I139" i="5"/>
  <c r="J139" i="5"/>
  <c r="E139" i="5"/>
  <c r="K138" i="5"/>
  <c r="M138" i="5" s="1"/>
  <c r="F138" i="5"/>
  <c r="H138" i="5" s="1"/>
  <c r="D56" i="2"/>
  <c r="E56" i="2" s="1"/>
  <c r="R55" i="2"/>
  <c r="AA55" i="2" s="1"/>
  <c r="Q33" i="4"/>
  <c r="R33" i="4" s="1"/>
  <c r="L57" i="2"/>
  <c r="Q57" i="2" s="1"/>
  <c r="S56" i="2"/>
  <c r="C57" i="2"/>
  <c r="AD54" i="2"/>
  <c r="AE54" i="2" s="1"/>
  <c r="AF54" i="2" s="1"/>
  <c r="AG54" i="2" s="1"/>
  <c r="O54" i="2"/>
  <c r="N55" i="2"/>
  <c r="M55" i="2"/>
  <c r="F55" i="2"/>
  <c r="P25" i="6"/>
  <c r="H26" i="6" s="1"/>
  <c r="R26" i="6" s="1"/>
  <c r="G26" i="6"/>
  <c r="C61" i="4"/>
  <c r="D60" i="4"/>
  <c r="AB55" i="2"/>
  <c r="T55" i="2"/>
  <c r="AC55" i="2" s="1"/>
  <c r="V53" i="2"/>
  <c r="W53" i="2" s="1"/>
  <c r="X53" i="2" s="1"/>
  <c r="Y53" i="2"/>
  <c r="U54" i="2"/>
  <c r="H54" i="2"/>
  <c r="I54" i="2" s="1"/>
  <c r="M33" i="4" l="1"/>
  <c r="F34" i="4" s="1"/>
  <c r="E34" i="4"/>
  <c r="C158" i="11"/>
  <c r="D157" i="11"/>
  <c r="M23" i="11"/>
  <c r="E24" i="11" s="1"/>
  <c r="F24" i="11" s="1"/>
  <c r="G99" i="3"/>
  <c r="H99" i="3" s="1"/>
  <c r="I99" i="3" s="1"/>
  <c r="K139" i="5"/>
  <c r="M139" i="5" s="1"/>
  <c r="F139" i="5"/>
  <c r="H139" i="5" s="1"/>
  <c r="C141" i="5"/>
  <c r="J140" i="5"/>
  <c r="D140" i="5"/>
  <c r="E140" i="5"/>
  <c r="I140" i="5"/>
  <c r="I26" i="6"/>
  <c r="K54" i="2"/>
  <c r="C62" i="4"/>
  <c r="D61" i="4"/>
  <c r="AD55" i="2"/>
  <c r="AE55" i="2" s="1"/>
  <c r="AF55" i="2" s="1"/>
  <c r="AG55" i="2" s="1"/>
  <c r="O55" i="2"/>
  <c r="V54" i="2"/>
  <c r="W54" i="2" s="1"/>
  <c r="X54" i="2" s="1"/>
  <c r="Y54" i="2"/>
  <c r="G34" i="4"/>
  <c r="H34" i="4"/>
  <c r="I34" i="4" s="1"/>
  <c r="P34" i="4"/>
  <c r="L34" i="4"/>
  <c r="U55" i="2"/>
  <c r="H55" i="2"/>
  <c r="I55" i="2" s="1"/>
  <c r="K55" i="2" s="1"/>
  <c r="C58" i="2"/>
  <c r="S57" i="2"/>
  <c r="L58" i="2"/>
  <c r="Q58" i="2" s="1"/>
  <c r="AB56" i="2"/>
  <c r="N56" i="2"/>
  <c r="F56" i="2"/>
  <c r="M56" i="2"/>
  <c r="R56" i="2"/>
  <c r="AA56" i="2" s="1"/>
  <c r="D57" i="2"/>
  <c r="N36" i="12" l="1"/>
  <c r="J36" i="12"/>
  <c r="K36" i="12" s="1"/>
  <c r="C159" i="11"/>
  <c r="D158" i="11"/>
  <c r="G24" i="11"/>
  <c r="I24" i="11" s="1"/>
  <c r="F140" i="5"/>
  <c r="H140" i="5" s="1"/>
  <c r="K140" i="5"/>
  <c r="M140" i="5" s="1"/>
  <c r="C142" i="5"/>
  <c r="E141" i="5"/>
  <c r="J141" i="5"/>
  <c r="I141" i="5"/>
  <c r="D141" i="5"/>
  <c r="Q34" i="4"/>
  <c r="T56" i="2"/>
  <c r="AC56" i="2" s="1"/>
  <c r="AD56" i="2"/>
  <c r="AE56" i="2" s="1"/>
  <c r="AF56" i="2" s="1"/>
  <c r="AG56" i="2" s="1"/>
  <c r="O56" i="2"/>
  <c r="R57" i="2"/>
  <c r="AA57" i="2" s="1"/>
  <c r="D58" i="2"/>
  <c r="E58" i="2" s="1"/>
  <c r="U56" i="2"/>
  <c r="H56" i="2"/>
  <c r="I56" i="2" s="1"/>
  <c r="K56" i="2" s="1"/>
  <c r="E57" i="2"/>
  <c r="AB57" i="2"/>
  <c r="J34" i="4"/>
  <c r="K34" i="4" s="1"/>
  <c r="S58" i="2"/>
  <c r="L59" i="2"/>
  <c r="Q59" i="2" s="1"/>
  <c r="C59" i="2"/>
  <c r="R34" i="4"/>
  <c r="J26" i="6"/>
  <c r="K26" i="6"/>
  <c r="L26" i="6" s="1"/>
  <c r="N26" i="6" s="1"/>
  <c r="O26" i="6" s="1"/>
  <c r="V55" i="2"/>
  <c r="W55" i="2" s="1"/>
  <c r="X55" i="2" s="1"/>
  <c r="Y55" i="2"/>
  <c r="C63" i="4"/>
  <c r="D62" i="4"/>
  <c r="E36" i="12" l="1"/>
  <c r="H24" i="11"/>
  <c r="J24" i="11" s="1"/>
  <c r="N24" i="11"/>
  <c r="C160" i="11"/>
  <c r="D159" i="11"/>
  <c r="F141" i="5"/>
  <c r="H141" i="5" s="1"/>
  <c r="K141" i="5"/>
  <c r="M141" i="5" s="1"/>
  <c r="I142" i="5"/>
  <c r="C143" i="5"/>
  <c r="J142" i="5"/>
  <c r="E142" i="5"/>
  <c r="D142" i="5"/>
  <c r="M57" i="2"/>
  <c r="F57" i="2"/>
  <c r="N57" i="2"/>
  <c r="V56" i="2"/>
  <c r="W56" i="2" s="1"/>
  <c r="X56" i="2" s="1"/>
  <c r="Y56" i="2"/>
  <c r="D63" i="4"/>
  <c r="C64" i="4"/>
  <c r="E59" i="2"/>
  <c r="L60" i="2"/>
  <c r="Q60" i="2" s="1"/>
  <c r="S59" i="2"/>
  <c r="C60" i="2"/>
  <c r="M34" i="4"/>
  <c r="F35" i="4" s="1"/>
  <c r="E35" i="4"/>
  <c r="R58" i="2"/>
  <c r="AA58" i="2" s="1"/>
  <c r="D59" i="2"/>
  <c r="M58" i="2"/>
  <c r="F58" i="2"/>
  <c r="N58" i="2"/>
  <c r="T57" i="2"/>
  <c r="AC57" i="2" s="1"/>
  <c r="G27" i="6"/>
  <c r="P26" i="6"/>
  <c r="H27" i="6" s="1"/>
  <c r="R27" i="6" s="1"/>
  <c r="AB58" i="2"/>
  <c r="H36" i="12" l="1"/>
  <c r="I36" i="12" s="1"/>
  <c r="L36" i="12" s="1"/>
  <c r="F37" i="12" s="1"/>
  <c r="G37" i="12" s="1"/>
  <c r="C161" i="11"/>
  <c r="D160" i="11"/>
  <c r="K24" i="11"/>
  <c r="L24" i="11" s="1"/>
  <c r="T58" i="2"/>
  <c r="AC58" i="2" s="1"/>
  <c r="F142" i="5"/>
  <c r="H142" i="5" s="1"/>
  <c r="K142" i="5"/>
  <c r="M142" i="5" s="1"/>
  <c r="I143" i="5"/>
  <c r="E143" i="5"/>
  <c r="C144" i="5"/>
  <c r="J143" i="5"/>
  <c r="D143" i="5"/>
  <c r="P35" i="4"/>
  <c r="G35" i="4"/>
  <c r="L35" i="4"/>
  <c r="H35" i="4"/>
  <c r="I35" i="4" s="1"/>
  <c r="AB59" i="2"/>
  <c r="I27" i="6"/>
  <c r="AD58" i="2"/>
  <c r="AE58" i="2" s="1"/>
  <c r="AF58" i="2" s="1"/>
  <c r="AG58" i="2" s="1"/>
  <c r="O58" i="2"/>
  <c r="R59" i="2"/>
  <c r="AA59" i="2" s="1"/>
  <c r="D60" i="2"/>
  <c r="E60" i="2" s="1"/>
  <c r="U58" i="2"/>
  <c r="H58" i="2"/>
  <c r="L61" i="2"/>
  <c r="Q61" i="2" s="1"/>
  <c r="S60" i="2"/>
  <c r="C61" i="2"/>
  <c r="N59" i="2"/>
  <c r="M59" i="2"/>
  <c r="F59" i="2"/>
  <c r="C65" i="4"/>
  <c r="D64" i="4"/>
  <c r="AD57" i="2"/>
  <c r="AE57" i="2" s="1"/>
  <c r="AF57" i="2" s="1"/>
  <c r="AG57" i="2" s="1"/>
  <c r="O57" i="2"/>
  <c r="U57" i="2"/>
  <c r="H57" i="2"/>
  <c r="I57" i="2" s="1"/>
  <c r="Q35" i="4" l="1"/>
  <c r="R35" i="4" s="1"/>
  <c r="M24" i="11"/>
  <c r="E25" i="11" s="1"/>
  <c r="F25" i="11" s="1"/>
  <c r="C162" i="11"/>
  <c r="D161" i="11"/>
  <c r="I144" i="5"/>
  <c r="E144" i="5"/>
  <c r="J144" i="5"/>
  <c r="D144" i="5"/>
  <c r="C145" i="5"/>
  <c r="K143" i="5"/>
  <c r="M143" i="5" s="1"/>
  <c r="F143" i="5"/>
  <c r="H143" i="5" s="1"/>
  <c r="J35" i="4"/>
  <c r="K35" i="4" s="1"/>
  <c r="E36" i="4" s="1"/>
  <c r="AD59" i="2"/>
  <c r="AE59" i="2" s="1"/>
  <c r="AF59" i="2" s="1"/>
  <c r="O59" i="2"/>
  <c r="AB60" i="2"/>
  <c r="T60" i="2"/>
  <c r="AC60" i="2" s="1"/>
  <c r="V57" i="2"/>
  <c r="W57" i="2" s="1"/>
  <c r="X57" i="2" s="1"/>
  <c r="Y57" i="2"/>
  <c r="I58" i="2"/>
  <c r="D61" i="2"/>
  <c r="E61" i="2" s="1"/>
  <c r="R60" i="2"/>
  <c r="AA60" i="2" s="1"/>
  <c r="J27" i="6"/>
  <c r="K27" i="6"/>
  <c r="L27" i="6" s="1"/>
  <c r="T59" i="2"/>
  <c r="AC59" i="2" s="1"/>
  <c r="C62" i="2"/>
  <c r="L62" i="2"/>
  <c r="Q62" i="2" s="1"/>
  <c r="S61" i="2"/>
  <c r="U59" i="2"/>
  <c r="H59" i="2"/>
  <c r="I59" i="2" s="1"/>
  <c r="V58" i="2"/>
  <c r="W58" i="2" s="1"/>
  <c r="X58" i="2" s="1"/>
  <c r="Y58" i="2"/>
  <c r="M60" i="2"/>
  <c r="F60" i="2"/>
  <c r="N60" i="2"/>
  <c r="K58" i="2"/>
  <c r="K57" i="2"/>
  <c r="C66" i="4"/>
  <c r="D65" i="4"/>
  <c r="J37" i="12" l="1"/>
  <c r="K37" i="12" s="1"/>
  <c r="N37" i="12"/>
  <c r="C163" i="11"/>
  <c r="D162" i="11"/>
  <c r="G25" i="11"/>
  <c r="I25" i="11" s="1"/>
  <c r="M35" i="4"/>
  <c r="F36" i="4" s="1"/>
  <c r="P36" i="4" s="1"/>
  <c r="C146" i="5"/>
  <c r="E145" i="5"/>
  <c r="I145" i="5"/>
  <c r="J145" i="5"/>
  <c r="D145" i="5"/>
  <c r="F144" i="5"/>
  <c r="H144" i="5" s="1"/>
  <c r="K144" i="5"/>
  <c r="M144" i="5" s="1"/>
  <c r="N61" i="2"/>
  <c r="M61" i="2"/>
  <c r="F61" i="2"/>
  <c r="D66" i="4"/>
  <c r="C67" i="4"/>
  <c r="U60" i="2"/>
  <c r="H60" i="2"/>
  <c r="I60" i="2" s="1"/>
  <c r="L36" i="4"/>
  <c r="AB61" i="2"/>
  <c r="S62" i="2"/>
  <c r="L63" i="2"/>
  <c r="Q63" i="2" s="1"/>
  <c r="C63" i="2"/>
  <c r="AG59" i="2"/>
  <c r="D62" i="2"/>
  <c r="E62" i="2" s="1"/>
  <c r="R61" i="2"/>
  <c r="AA61" i="2" s="1"/>
  <c r="AD60" i="2"/>
  <c r="AE60" i="2" s="1"/>
  <c r="AF60" i="2" s="1"/>
  <c r="AG60" i="2" s="1"/>
  <c r="O60" i="2"/>
  <c r="V59" i="2"/>
  <c r="W59" i="2" s="1"/>
  <c r="X59" i="2" s="1"/>
  <c r="Y59" i="2"/>
  <c r="N27" i="6"/>
  <c r="O27" i="6" s="1"/>
  <c r="K59" i="2"/>
  <c r="E37" i="12" l="1"/>
  <c r="T61" i="2"/>
  <c r="AC61" i="2" s="1"/>
  <c r="H25" i="11"/>
  <c r="J25" i="11" s="1"/>
  <c r="N25" i="11"/>
  <c r="C164" i="11"/>
  <c r="D163" i="11"/>
  <c r="K145" i="5"/>
  <c r="M145" i="5" s="1"/>
  <c r="F145" i="5"/>
  <c r="H145" i="5" s="1"/>
  <c r="G36" i="4"/>
  <c r="H36" i="4"/>
  <c r="I36" i="4" s="1"/>
  <c r="J36" i="4" s="1"/>
  <c r="K36" i="4" s="1"/>
  <c r="D146" i="5"/>
  <c r="E146" i="5"/>
  <c r="J146" i="5"/>
  <c r="I146" i="5"/>
  <c r="C147" i="5"/>
  <c r="F62" i="2"/>
  <c r="N62" i="2"/>
  <c r="M62" i="2"/>
  <c r="Q36" i="4"/>
  <c r="R36" i="4" s="1"/>
  <c r="D67" i="4"/>
  <c r="C68" i="4"/>
  <c r="AD61" i="2"/>
  <c r="AE61" i="2" s="1"/>
  <c r="AF61" i="2" s="1"/>
  <c r="AG61" i="2" s="1"/>
  <c r="O61" i="2"/>
  <c r="T62" i="2"/>
  <c r="AC62" i="2" s="1"/>
  <c r="AB62" i="2"/>
  <c r="D63" i="2"/>
  <c r="R62" i="2"/>
  <c r="AA62" i="2" s="1"/>
  <c r="S63" i="2"/>
  <c r="C64" i="2"/>
  <c r="L64" i="2"/>
  <c r="Q64" i="2" s="1"/>
  <c r="M36" i="4"/>
  <c r="F37" i="4" s="1"/>
  <c r="E37" i="4"/>
  <c r="U61" i="2"/>
  <c r="H61" i="2"/>
  <c r="I61" i="2" s="1"/>
  <c r="K61" i="2" s="1"/>
  <c r="G28" i="6"/>
  <c r="P27" i="6"/>
  <c r="H28" i="6" s="1"/>
  <c r="R28" i="6" s="1"/>
  <c r="K60" i="2"/>
  <c r="V60" i="2"/>
  <c r="W60" i="2" s="1"/>
  <c r="X60" i="2" s="1"/>
  <c r="Y60" i="2"/>
  <c r="H37" i="12" l="1"/>
  <c r="I37" i="12" s="1"/>
  <c r="L37" i="12" s="1"/>
  <c r="F38" i="12" s="1"/>
  <c r="G38" i="12" s="1"/>
  <c r="C165" i="11"/>
  <c r="D164" i="11"/>
  <c r="K25" i="11"/>
  <c r="L25" i="11" s="1"/>
  <c r="K146" i="5"/>
  <c r="M146" i="5" s="1"/>
  <c r="F146" i="5"/>
  <c r="H146" i="5" s="1"/>
  <c r="E147" i="5"/>
  <c r="D147" i="5"/>
  <c r="C148" i="5"/>
  <c r="I147" i="5"/>
  <c r="J147" i="5"/>
  <c r="I28" i="6"/>
  <c r="U62" i="2"/>
  <c r="H62" i="2"/>
  <c r="I62" i="2" s="1"/>
  <c r="K62" i="2" s="1"/>
  <c r="C69" i="4"/>
  <c r="D68" i="4"/>
  <c r="H37" i="4"/>
  <c r="I37" i="4" s="1"/>
  <c r="P37" i="4"/>
  <c r="L37" i="4"/>
  <c r="G37" i="4"/>
  <c r="C65" i="2"/>
  <c r="S64" i="2"/>
  <c r="L65" i="2"/>
  <c r="Q65" i="2" s="1"/>
  <c r="D64" i="2"/>
  <c r="E64" i="2" s="1"/>
  <c r="R63" i="2"/>
  <c r="AA63" i="2" s="1"/>
  <c r="V61" i="2"/>
  <c r="W61" i="2" s="1"/>
  <c r="X61" i="2" s="1"/>
  <c r="Y61" i="2"/>
  <c r="E63" i="2"/>
  <c r="AD62" i="2"/>
  <c r="AE62" i="2" s="1"/>
  <c r="AF62" i="2" s="1"/>
  <c r="AG62" i="2" s="1"/>
  <c r="O62" i="2"/>
  <c r="AB63" i="2"/>
  <c r="C166" i="11" l="1"/>
  <c r="D166" i="11" s="1"/>
  <c r="D165" i="11"/>
  <c r="M25" i="11"/>
  <c r="E26" i="11" s="1"/>
  <c r="F26" i="11" s="1"/>
  <c r="D148" i="5"/>
  <c r="J148" i="5"/>
  <c r="C149" i="5"/>
  <c r="E148" i="5"/>
  <c r="I148" i="5"/>
  <c r="K147" i="5"/>
  <c r="M147" i="5" s="1"/>
  <c r="F147" i="5"/>
  <c r="H147" i="5" s="1"/>
  <c r="T63" i="2"/>
  <c r="AC63" i="2" s="1"/>
  <c r="M64" i="2"/>
  <c r="F64" i="2"/>
  <c r="N64" i="2"/>
  <c r="F63" i="2"/>
  <c r="N63" i="2"/>
  <c r="M63" i="2"/>
  <c r="AB64" i="2"/>
  <c r="L66" i="2"/>
  <c r="Q66" i="2" s="1"/>
  <c r="S65" i="2"/>
  <c r="C66" i="2"/>
  <c r="Q37" i="4"/>
  <c r="R37" i="4" s="1"/>
  <c r="V62" i="2"/>
  <c r="W62" i="2" s="1"/>
  <c r="X62" i="2" s="1"/>
  <c r="Y62" i="2"/>
  <c r="K28" i="6"/>
  <c r="L28" i="6" s="1"/>
  <c r="J28" i="6"/>
  <c r="D65" i="2"/>
  <c r="R64" i="2"/>
  <c r="AA64" i="2" s="1"/>
  <c r="J37" i="4"/>
  <c r="K37" i="4" s="1"/>
  <c r="C70" i="4"/>
  <c r="D69" i="4"/>
  <c r="N38" i="12" l="1"/>
  <c r="J38" i="12"/>
  <c r="K38" i="12" s="1"/>
  <c r="G26" i="11"/>
  <c r="I26" i="11" s="1"/>
  <c r="D149" i="5"/>
  <c r="C150" i="5"/>
  <c r="I149" i="5"/>
  <c r="J149" i="5"/>
  <c r="E149" i="5"/>
  <c r="K148" i="5"/>
  <c r="M148" i="5" s="1"/>
  <c r="F148" i="5"/>
  <c r="H148" i="5" s="1"/>
  <c r="C67" i="2"/>
  <c r="L67" i="2"/>
  <c r="Q67" i="2" s="1"/>
  <c r="S66" i="2"/>
  <c r="AD63" i="2"/>
  <c r="AE63" i="2" s="1"/>
  <c r="AF63" i="2" s="1"/>
  <c r="AG63" i="2" s="1"/>
  <c r="O63" i="2"/>
  <c r="C71" i="4"/>
  <c r="D70" i="4"/>
  <c r="D66" i="2"/>
  <c r="R65" i="2"/>
  <c r="AA65" i="2" s="1"/>
  <c r="T64" i="2"/>
  <c r="AC64" i="2" s="1"/>
  <c r="U63" i="2"/>
  <c r="H63" i="2"/>
  <c r="I63" i="2" s="1"/>
  <c r="M37" i="4"/>
  <c r="F38" i="4" s="1"/>
  <c r="E38" i="4"/>
  <c r="AB65" i="2"/>
  <c r="AD64" i="2"/>
  <c r="AE64" i="2" s="1"/>
  <c r="AF64" i="2" s="1"/>
  <c r="O64" i="2"/>
  <c r="N28" i="6"/>
  <c r="O28" i="6" s="1"/>
  <c r="E65" i="2"/>
  <c r="U64" i="2"/>
  <c r="H64" i="2"/>
  <c r="I64" i="2" s="1"/>
  <c r="E38" i="12" l="1"/>
  <c r="T65" i="2"/>
  <c r="AC65" i="2" s="1"/>
  <c r="H26" i="11"/>
  <c r="J26" i="11" s="1"/>
  <c r="N26" i="11"/>
  <c r="C151" i="5"/>
  <c r="E150" i="5"/>
  <c r="J150" i="5"/>
  <c r="D150" i="5"/>
  <c r="I150" i="5"/>
  <c r="K149" i="5"/>
  <c r="M149" i="5" s="1"/>
  <c r="F149" i="5"/>
  <c r="H149" i="5" s="1"/>
  <c r="K64" i="2"/>
  <c r="K63" i="2"/>
  <c r="D67" i="2"/>
  <c r="R66" i="2"/>
  <c r="AA66" i="2" s="1"/>
  <c r="V64" i="2"/>
  <c r="W64" i="2" s="1"/>
  <c r="X64" i="2" s="1"/>
  <c r="Y64" i="2"/>
  <c r="AG64" i="2"/>
  <c r="V63" i="2"/>
  <c r="W63" i="2" s="1"/>
  <c r="X63" i="2" s="1"/>
  <c r="Y63" i="2"/>
  <c r="E66" i="2"/>
  <c r="E67" i="2"/>
  <c r="C68" i="2"/>
  <c r="S67" i="2"/>
  <c r="L68" i="2"/>
  <c r="Q68" i="2" s="1"/>
  <c r="N65" i="2"/>
  <c r="M65" i="2"/>
  <c r="F65" i="2"/>
  <c r="D71" i="4"/>
  <c r="C72" i="4"/>
  <c r="T66" i="2"/>
  <c r="AC66" i="2" s="1"/>
  <c r="AB66" i="2"/>
  <c r="G29" i="6"/>
  <c r="P28" i="6"/>
  <c r="H29" i="6" s="1"/>
  <c r="R29" i="6" s="1"/>
  <c r="H38" i="4"/>
  <c r="I38" i="4" s="1"/>
  <c r="P38" i="4"/>
  <c r="L38" i="4"/>
  <c r="G38" i="4"/>
  <c r="H38" i="12" l="1"/>
  <c r="I38" i="12" s="1"/>
  <c r="L38" i="12" s="1"/>
  <c r="F39" i="12" s="1"/>
  <c r="G39" i="12" s="1"/>
  <c r="K26" i="11"/>
  <c r="L26" i="11" s="1"/>
  <c r="F150" i="5"/>
  <c r="H150" i="5" s="1"/>
  <c r="K150" i="5"/>
  <c r="M150" i="5" s="1"/>
  <c r="I151" i="5"/>
  <c r="E151" i="5"/>
  <c r="C152" i="5"/>
  <c r="J151" i="5"/>
  <c r="D151" i="5"/>
  <c r="J38" i="4"/>
  <c r="K38" i="4" s="1"/>
  <c r="AB67" i="2"/>
  <c r="I29" i="6"/>
  <c r="S68" i="2"/>
  <c r="C69" i="2"/>
  <c r="L69" i="2"/>
  <c r="Q69" i="2" s="1"/>
  <c r="D68" i="2"/>
  <c r="R67" i="2"/>
  <c r="AA67" i="2" s="1"/>
  <c r="U65" i="2"/>
  <c r="H65" i="2"/>
  <c r="I65" i="2" s="1"/>
  <c r="F67" i="2"/>
  <c r="N67" i="2"/>
  <c r="M67" i="2"/>
  <c r="Q38" i="4"/>
  <c r="R38" i="4" s="1"/>
  <c r="C73" i="4"/>
  <c r="D72" i="4"/>
  <c r="N66" i="2"/>
  <c r="M66" i="2"/>
  <c r="F66" i="2"/>
  <c r="AD65" i="2"/>
  <c r="AE65" i="2" s="1"/>
  <c r="AF65" i="2" s="1"/>
  <c r="AG65" i="2" s="1"/>
  <c r="O65" i="2"/>
  <c r="M26" i="11" l="1"/>
  <c r="E27" i="11" s="1"/>
  <c r="F27" i="11" s="1"/>
  <c r="I152" i="5"/>
  <c r="J152" i="5"/>
  <c r="D152" i="5"/>
  <c r="C153" i="5"/>
  <c r="E152" i="5"/>
  <c r="F151" i="5"/>
  <c r="H151" i="5" s="1"/>
  <c r="K151" i="5"/>
  <c r="M151" i="5" s="1"/>
  <c r="AB68" i="2"/>
  <c r="U66" i="2"/>
  <c r="H66" i="2"/>
  <c r="I66" i="2" s="1"/>
  <c r="K66" i="2" s="1"/>
  <c r="D73" i="4"/>
  <c r="C74" i="4"/>
  <c r="AD67" i="2"/>
  <c r="AE67" i="2" s="1"/>
  <c r="AF67" i="2" s="1"/>
  <c r="O67" i="2"/>
  <c r="T67" i="2"/>
  <c r="AC67" i="2" s="1"/>
  <c r="U67" i="2"/>
  <c r="H67" i="2"/>
  <c r="S69" i="2"/>
  <c r="C70" i="2"/>
  <c r="L70" i="2"/>
  <c r="Q70" i="2" s="1"/>
  <c r="J29" i="6"/>
  <c r="K29" i="6"/>
  <c r="L29" i="6" s="1"/>
  <c r="M38" i="4"/>
  <c r="F39" i="4" s="1"/>
  <c r="E39" i="4"/>
  <c r="AD66" i="2"/>
  <c r="AE66" i="2" s="1"/>
  <c r="AF66" i="2" s="1"/>
  <c r="AG66" i="2" s="1"/>
  <c r="O66" i="2"/>
  <c r="K65" i="2"/>
  <c r="D69" i="2"/>
  <c r="E69" i="2" s="1"/>
  <c r="R68" i="2"/>
  <c r="AA68" i="2" s="1"/>
  <c r="E68" i="2"/>
  <c r="V65" i="2"/>
  <c r="W65" i="2" s="1"/>
  <c r="X65" i="2" s="1"/>
  <c r="Y65" i="2"/>
  <c r="J39" i="12" l="1"/>
  <c r="K39" i="12" s="1"/>
  <c r="N39" i="12"/>
  <c r="I67" i="2"/>
  <c r="G27" i="11"/>
  <c r="I27" i="11" s="1"/>
  <c r="I153" i="5"/>
  <c r="E153" i="5"/>
  <c r="D153" i="5"/>
  <c r="J153" i="5"/>
  <c r="C154" i="5"/>
  <c r="N29" i="6"/>
  <c r="O29" i="6" s="1"/>
  <c r="P29" i="6" s="1"/>
  <c r="H30" i="6" s="1"/>
  <c r="R30" i="6" s="1"/>
  <c r="F152" i="5"/>
  <c r="H152" i="5" s="1"/>
  <c r="K152" i="5"/>
  <c r="M152" i="5" s="1"/>
  <c r="F69" i="2"/>
  <c r="N69" i="2"/>
  <c r="M69" i="2"/>
  <c r="D74" i="4"/>
  <c r="C75" i="4"/>
  <c r="D70" i="2"/>
  <c r="R70" i="2" s="1"/>
  <c r="AA70" i="2" s="1"/>
  <c r="R69" i="2"/>
  <c r="AA69" i="2" s="1"/>
  <c r="H39" i="4"/>
  <c r="I39" i="4" s="1"/>
  <c r="P39" i="4"/>
  <c r="G39" i="4"/>
  <c r="L39" i="4"/>
  <c r="AB69" i="2"/>
  <c r="T68" i="2"/>
  <c r="AC68" i="2" s="1"/>
  <c r="G30" i="6"/>
  <c r="K67" i="2"/>
  <c r="M68" i="2"/>
  <c r="F68" i="2"/>
  <c r="N68" i="2"/>
  <c r="S70" i="2"/>
  <c r="V67" i="2"/>
  <c r="W67" i="2" s="1"/>
  <c r="X67" i="2" s="1"/>
  <c r="Y67" i="2"/>
  <c r="AG67" i="2"/>
  <c r="V66" i="2"/>
  <c r="W66" i="2" s="1"/>
  <c r="X66" i="2" s="1"/>
  <c r="Y66" i="2"/>
  <c r="E39" i="12" l="1"/>
  <c r="H27" i="11"/>
  <c r="J27" i="11" s="1"/>
  <c r="N27" i="11"/>
  <c r="T69" i="2"/>
  <c r="AC69" i="2" s="1"/>
  <c r="E70" i="2"/>
  <c r="M70" i="2" s="1"/>
  <c r="J154" i="5"/>
  <c r="D154" i="5"/>
  <c r="E154" i="5"/>
  <c r="I154" i="5"/>
  <c r="C155" i="5"/>
  <c r="Q39" i="4"/>
  <c r="R39" i="4" s="1"/>
  <c r="K153" i="5"/>
  <c r="M153" i="5" s="1"/>
  <c r="F153" i="5"/>
  <c r="H153" i="5" s="1"/>
  <c r="N70" i="2"/>
  <c r="AD68" i="2"/>
  <c r="AE68" i="2" s="1"/>
  <c r="AF68" i="2" s="1"/>
  <c r="AG68" i="2" s="1"/>
  <c r="O68" i="2"/>
  <c r="J39" i="4"/>
  <c r="K39" i="4" s="1"/>
  <c r="AD69" i="2"/>
  <c r="AE69" i="2" s="1"/>
  <c r="AF69" i="2" s="1"/>
  <c r="O69" i="2"/>
  <c r="I30" i="6"/>
  <c r="U68" i="2"/>
  <c r="H68" i="2"/>
  <c r="I68" i="2" s="1"/>
  <c r="D75" i="4"/>
  <c r="C76" i="4"/>
  <c r="U69" i="2"/>
  <c r="H69" i="2"/>
  <c r="T70" i="2"/>
  <c r="AC70" i="2" s="1"/>
  <c r="AB70" i="2"/>
  <c r="H39" i="12" l="1"/>
  <c r="I39" i="12" s="1"/>
  <c r="L39" i="12" s="1"/>
  <c r="F40" i="12" s="1"/>
  <c r="G40" i="12" s="1"/>
  <c r="F70" i="2"/>
  <c r="K27" i="11"/>
  <c r="L27" i="11" s="1"/>
  <c r="M27" i="11" s="1"/>
  <c r="E28" i="11" s="1"/>
  <c r="F28" i="11" s="1"/>
  <c r="J155" i="5"/>
  <c r="C156" i="5"/>
  <c r="E155" i="5"/>
  <c r="D155" i="5"/>
  <c r="I155" i="5"/>
  <c r="K154" i="5"/>
  <c r="M154" i="5" s="1"/>
  <c r="F154" i="5"/>
  <c r="H154" i="5" s="1"/>
  <c r="I69" i="2"/>
  <c r="K69" i="2" s="1"/>
  <c r="AG69" i="2"/>
  <c r="K68" i="2"/>
  <c r="M39" i="4"/>
  <c r="F40" i="4" s="1"/>
  <c r="E40" i="4"/>
  <c r="AD70" i="2"/>
  <c r="AE70" i="2" s="1"/>
  <c r="AF70" i="2" s="1"/>
  <c r="AG70" i="2" s="1"/>
  <c r="O70" i="2"/>
  <c r="V69" i="2"/>
  <c r="W69" i="2" s="1"/>
  <c r="X69" i="2" s="1"/>
  <c r="Y69" i="2"/>
  <c r="V68" i="2"/>
  <c r="W68" i="2" s="1"/>
  <c r="X68" i="2" s="1"/>
  <c r="Y68" i="2"/>
  <c r="D76" i="4"/>
  <c r="C77" i="4"/>
  <c r="J30" i="6"/>
  <c r="K30" i="6"/>
  <c r="L30" i="6" s="1"/>
  <c r="N30" i="6" s="1"/>
  <c r="O30" i="6" s="1"/>
  <c r="U70" i="2"/>
  <c r="H70" i="2"/>
  <c r="I70" i="2" s="1"/>
  <c r="K70" i="2" s="1"/>
  <c r="G28" i="11" l="1"/>
  <c r="I28" i="11" s="1"/>
  <c r="K155" i="5"/>
  <c r="M155" i="5" s="1"/>
  <c r="F155" i="5"/>
  <c r="H155" i="5" s="1"/>
  <c r="I156" i="5"/>
  <c r="J156" i="5"/>
  <c r="C157" i="5"/>
  <c r="E156" i="5"/>
  <c r="D156" i="5"/>
  <c r="C78" i="4"/>
  <c r="D77" i="4"/>
  <c r="V70" i="2"/>
  <c r="W70" i="2" s="1"/>
  <c r="X70" i="2" s="1"/>
  <c r="Y70" i="2"/>
  <c r="G31" i="6"/>
  <c r="P30" i="6"/>
  <c r="H31" i="6" s="1"/>
  <c r="R31" i="6" s="1"/>
  <c r="P40" i="4"/>
  <c r="H40" i="4"/>
  <c r="I40" i="4" s="1"/>
  <c r="G40" i="4"/>
  <c r="L40" i="4"/>
  <c r="J40" i="12" l="1"/>
  <c r="K40" i="12" s="1"/>
  <c r="E40" i="12" s="1"/>
  <c r="N40" i="12"/>
  <c r="H28" i="11"/>
  <c r="J28" i="11" s="1"/>
  <c r="N28" i="11"/>
  <c r="F156" i="5"/>
  <c r="H156" i="5" s="1"/>
  <c r="K156" i="5"/>
  <c r="M156" i="5" s="1"/>
  <c r="I157" i="5"/>
  <c r="D157" i="5"/>
  <c r="E157" i="5"/>
  <c r="C158" i="5"/>
  <c r="J157" i="5"/>
  <c r="J40" i="4"/>
  <c r="K40" i="4" s="1"/>
  <c r="M40" i="4" s="1"/>
  <c r="F41" i="4" s="1"/>
  <c r="P41" i="4" s="1"/>
  <c r="Q40" i="4"/>
  <c r="R40" i="4" s="1"/>
  <c r="D78" i="4"/>
  <c r="C79" i="4"/>
  <c r="I31" i="6"/>
  <c r="H40" i="12" l="1"/>
  <c r="I40" i="12" s="1"/>
  <c r="L40" i="12" s="1"/>
  <c r="F41" i="12" s="1"/>
  <c r="G41" i="12" s="1"/>
  <c r="K28" i="11"/>
  <c r="L28" i="11" s="1"/>
  <c r="I158" i="5"/>
  <c r="J158" i="5"/>
  <c r="D158" i="5"/>
  <c r="C159" i="5"/>
  <c r="E158" i="5"/>
  <c r="L41" i="4"/>
  <c r="G41" i="4"/>
  <c r="K157" i="5"/>
  <c r="M157" i="5" s="1"/>
  <c r="F157" i="5"/>
  <c r="H157" i="5" s="1"/>
  <c r="E41" i="4"/>
  <c r="H41" i="4"/>
  <c r="I41" i="4" s="1"/>
  <c r="C80" i="4"/>
  <c r="D79" i="4"/>
  <c r="K31" i="6"/>
  <c r="L31" i="6" s="1"/>
  <c r="J31" i="6"/>
  <c r="Q41" i="4" l="1"/>
  <c r="R41" i="4" s="1"/>
  <c r="M28" i="11"/>
  <c r="E29" i="11" s="1"/>
  <c r="F29" i="11" s="1"/>
  <c r="J41" i="4"/>
  <c r="K41" i="4" s="1"/>
  <c r="M41" i="4" s="1"/>
  <c r="F42" i="4" s="1"/>
  <c r="I159" i="5"/>
  <c r="E159" i="5"/>
  <c r="C160" i="5"/>
  <c r="J159" i="5"/>
  <c r="D159" i="5"/>
  <c r="K158" i="5"/>
  <c r="M158" i="5" s="1"/>
  <c r="F158" i="5"/>
  <c r="H158" i="5" s="1"/>
  <c r="N31" i="6"/>
  <c r="O31" i="6" s="1"/>
  <c r="G32" i="6" s="1"/>
  <c r="D80" i="4"/>
  <c r="C81" i="4"/>
  <c r="N41" i="12" l="1"/>
  <c r="J41" i="12"/>
  <c r="K41" i="12" s="1"/>
  <c r="E41" i="12" s="1"/>
  <c r="P31" i="6"/>
  <c r="H32" i="6" s="1"/>
  <c r="R32" i="6" s="1"/>
  <c r="G29" i="11"/>
  <c r="I29" i="11" s="1"/>
  <c r="D160" i="5"/>
  <c r="E160" i="5"/>
  <c r="C161" i="5"/>
  <c r="I160" i="5"/>
  <c r="J160" i="5"/>
  <c r="G42" i="4"/>
  <c r="P42" i="4"/>
  <c r="H42" i="4"/>
  <c r="I42" i="4" s="1"/>
  <c r="L42" i="4"/>
  <c r="K159" i="5"/>
  <c r="M159" i="5" s="1"/>
  <c r="F159" i="5"/>
  <c r="H159" i="5" s="1"/>
  <c r="E42" i="4"/>
  <c r="I32" i="6"/>
  <c r="D81" i="4"/>
  <c r="C82" i="4"/>
  <c r="H41" i="12" l="1"/>
  <c r="I41" i="12" s="1"/>
  <c r="L41" i="12" s="1"/>
  <c r="F42" i="12" s="1"/>
  <c r="G42" i="12" s="1"/>
  <c r="H29" i="11"/>
  <c r="J29" i="11" s="1"/>
  <c r="N29" i="11"/>
  <c r="Q42" i="4"/>
  <c r="R42" i="4" s="1"/>
  <c r="D161" i="5"/>
  <c r="J161" i="5"/>
  <c r="C162" i="5"/>
  <c r="E161" i="5"/>
  <c r="I161" i="5"/>
  <c r="J42" i="4"/>
  <c r="K42" i="4" s="1"/>
  <c r="K160" i="5"/>
  <c r="M160" i="5" s="1"/>
  <c r="F160" i="5"/>
  <c r="H160" i="5" s="1"/>
  <c r="C83" i="4"/>
  <c r="D82" i="4"/>
  <c r="K32" i="6"/>
  <c r="L32" i="6" s="1"/>
  <c r="J32" i="6"/>
  <c r="K29" i="11" l="1"/>
  <c r="L29" i="11" s="1"/>
  <c r="M42" i="4"/>
  <c r="F43" i="4" s="1"/>
  <c r="E43" i="4"/>
  <c r="C163" i="5"/>
  <c r="J162" i="5"/>
  <c r="D162" i="5"/>
  <c r="E162" i="5"/>
  <c r="I162" i="5"/>
  <c r="N32" i="6"/>
  <c r="O32" i="6" s="1"/>
  <c r="P32" i="6" s="1"/>
  <c r="H33" i="6" s="1"/>
  <c r="R33" i="6" s="1"/>
  <c r="F161" i="5"/>
  <c r="H161" i="5" s="1"/>
  <c r="K161" i="5"/>
  <c r="M161" i="5" s="1"/>
  <c r="C84" i="4"/>
  <c r="D83" i="4"/>
  <c r="N42" i="12" l="1"/>
  <c r="J42" i="12"/>
  <c r="K42" i="12" s="1"/>
  <c r="E42" i="12" s="1"/>
  <c r="M29" i="11"/>
  <c r="E30" i="11" s="1"/>
  <c r="F30" i="11" s="1"/>
  <c r="G43" i="4"/>
  <c r="P43" i="4"/>
  <c r="H43" i="4"/>
  <c r="I43" i="4" s="1"/>
  <c r="J43" i="4" s="1"/>
  <c r="K43" i="4" s="1"/>
  <c r="L43" i="4"/>
  <c r="K162" i="5"/>
  <c r="M162" i="5" s="1"/>
  <c r="F162" i="5"/>
  <c r="H162" i="5" s="1"/>
  <c r="G33" i="6"/>
  <c r="E163" i="5"/>
  <c r="I163" i="5"/>
  <c r="J163" i="5"/>
  <c r="C164" i="5"/>
  <c r="D163" i="5"/>
  <c r="C85" i="4"/>
  <c r="D84" i="4"/>
  <c r="I33" i="6"/>
  <c r="H42" i="12" l="1"/>
  <c r="I42" i="12" s="1"/>
  <c r="L42" i="12" s="1"/>
  <c r="F43" i="12" s="1"/>
  <c r="G43" i="12" s="1"/>
  <c r="Q43" i="4"/>
  <c r="R43" i="4" s="1"/>
  <c r="G30" i="11"/>
  <c r="I30" i="11" s="1"/>
  <c r="F163" i="5"/>
  <c r="H163" i="5" s="1"/>
  <c r="K163" i="5"/>
  <c r="M163" i="5" s="1"/>
  <c r="D164" i="5"/>
  <c r="E164" i="5"/>
  <c r="I164" i="5"/>
  <c r="C165" i="5"/>
  <c r="J164" i="5"/>
  <c r="M43" i="4"/>
  <c r="F44" i="4" s="1"/>
  <c r="E44" i="4"/>
  <c r="J33" i="6"/>
  <c r="K33" i="6"/>
  <c r="L33" i="6" s="1"/>
  <c r="C86" i="4"/>
  <c r="D85" i="4"/>
  <c r="H30" i="11" l="1"/>
  <c r="J30" i="11" s="1"/>
  <c r="N30" i="11"/>
  <c r="E165" i="5"/>
  <c r="D165" i="5"/>
  <c r="J165" i="5"/>
  <c r="I165" i="5"/>
  <c r="C166" i="5"/>
  <c r="L44" i="4"/>
  <c r="H44" i="4"/>
  <c r="I44" i="4" s="1"/>
  <c r="G44" i="4"/>
  <c r="P44" i="4"/>
  <c r="F164" i="5"/>
  <c r="H164" i="5" s="1"/>
  <c r="K164" i="5"/>
  <c r="M164" i="5" s="1"/>
  <c r="N33" i="6"/>
  <c r="O33" i="6" s="1"/>
  <c r="D86" i="4"/>
  <c r="C87" i="4"/>
  <c r="J43" i="12" l="1"/>
  <c r="K43" i="12" s="1"/>
  <c r="N43" i="12"/>
  <c r="K30" i="11"/>
  <c r="L30" i="11" s="1"/>
  <c r="I166" i="5"/>
  <c r="C167" i="5"/>
  <c r="D166" i="5"/>
  <c r="E166" i="5"/>
  <c r="J166" i="5"/>
  <c r="Q44" i="4"/>
  <c r="R44" i="4" s="1"/>
  <c r="K165" i="5"/>
  <c r="M165" i="5" s="1"/>
  <c r="F165" i="5"/>
  <c r="H165" i="5" s="1"/>
  <c r="J44" i="4"/>
  <c r="K44" i="4" s="1"/>
  <c r="D87" i="4"/>
  <c r="C88" i="4"/>
  <c r="G34" i="6"/>
  <c r="P33" i="6"/>
  <c r="H34" i="6" s="1"/>
  <c r="R34" i="6" s="1"/>
  <c r="E43" i="12" l="1"/>
  <c r="M30" i="11"/>
  <c r="E31" i="11" s="1"/>
  <c r="F31" i="11" s="1"/>
  <c r="K166" i="5"/>
  <c r="M166" i="5" s="1"/>
  <c r="F166" i="5"/>
  <c r="H166" i="5" s="1"/>
  <c r="J167" i="5"/>
  <c r="C168" i="5"/>
  <c r="E167" i="5"/>
  <c r="D167" i="5"/>
  <c r="I167" i="5"/>
  <c r="M44" i="4"/>
  <c r="F45" i="4" s="1"/>
  <c r="E45" i="4"/>
  <c r="C89" i="4"/>
  <c r="D88" i="4"/>
  <c r="I34" i="6"/>
  <c r="H43" i="12" l="1"/>
  <c r="I43" i="12" s="1"/>
  <c r="L43" i="12" s="1"/>
  <c r="F44" i="12" s="1"/>
  <c r="G44" i="12" s="1"/>
  <c r="G31" i="11"/>
  <c r="I31" i="11" s="1"/>
  <c r="L45" i="4"/>
  <c r="H45" i="4"/>
  <c r="I45" i="4" s="1"/>
  <c r="G45" i="4"/>
  <c r="P45" i="4"/>
  <c r="C169" i="5"/>
  <c r="D168" i="5"/>
  <c r="I168" i="5"/>
  <c r="E168" i="5"/>
  <c r="J168" i="5"/>
  <c r="K167" i="5"/>
  <c r="M167" i="5" s="1"/>
  <c r="F167" i="5"/>
  <c r="H167" i="5" s="1"/>
  <c r="J34" i="6"/>
  <c r="K34" i="6"/>
  <c r="L34" i="6" s="1"/>
  <c r="D89" i="4"/>
  <c r="C90" i="4"/>
  <c r="H31" i="11" l="1"/>
  <c r="J31" i="11" s="1"/>
  <c r="N31" i="11"/>
  <c r="F168" i="5"/>
  <c r="H168" i="5" s="1"/>
  <c r="K168" i="5"/>
  <c r="M168" i="5" s="1"/>
  <c r="I169" i="5"/>
  <c r="E169" i="5"/>
  <c r="J169" i="5"/>
  <c r="C170" i="5"/>
  <c r="D169" i="5"/>
  <c r="Q45" i="4"/>
  <c r="R45" i="4" s="1"/>
  <c r="J45" i="4"/>
  <c r="K45" i="4" s="1"/>
  <c r="D90" i="4"/>
  <c r="C91" i="4"/>
  <c r="N34" i="6"/>
  <c r="O34" i="6" s="1"/>
  <c r="N44" i="12" l="1"/>
  <c r="J44" i="12"/>
  <c r="K44" i="12" s="1"/>
  <c r="K31" i="11"/>
  <c r="L31" i="11" s="1"/>
  <c r="D170" i="5"/>
  <c r="E170" i="5"/>
  <c r="J170" i="5"/>
  <c r="I170" i="5"/>
  <c r="C171" i="5"/>
  <c r="F169" i="5"/>
  <c r="H169" i="5" s="1"/>
  <c r="K169" i="5"/>
  <c r="M169" i="5" s="1"/>
  <c r="M45" i="4"/>
  <c r="F46" i="4" s="1"/>
  <c r="E46" i="4"/>
  <c r="P34" i="6"/>
  <c r="H35" i="6" s="1"/>
  <c r="R35" i="6" s="1"/>
  <c r="G35" i="6"/>
  <c r="D91" i="4"/>
  <c r="C92" i="4"/>
  <c r="M31" i="11" l="1"/>
  <c r="E32" i="11" s="1"/>
  <c r="F32" i="11" s="1"/>
  <c r="G32" i="11" s="1"/>
  <c r="I32" i="11" s="1"/>
  <c r="E44" i="12"/>
  <c r="C172" i="5"/>
  <c r="J171" i="5"/>
  <c r="E171" i="5"/>
  <c r="D171" i="5"/>
  <c r="I171" i="5"/>
  <c r="H46" i="4"/>
  <c r="I46" i="4" s="1"/>
  <c r="J46" i="4" s="1"/>
  <c r="K46" i="4" s="1"/>
  <c r="M46" i="4" s="1"/>
  <c r="F47" i="4" s="1"/>
  <c r="G46" i="4"/>
  <c r="L46" i="4"/>
  <c r="P46" i="4"/>
  <c r="F170" i="5"/>
  <c r="H170" i="5" s="1"/>
  <c r="K170" i="5"/>
  <c r="M170" i="5" s="1"/>
  <c r="D92" i="4"/>
  <c r="C93" i="4"/>
  <c r="I35" i="6"/>
  <c r="H44" i="12" l="1"/>
  <c r="I44" i="12" s="1"/>
  <c r="L44" i="12" s="1"/>
  <c r="F45" i="12" s="1"/>
  <c r="G45" i="12" s="1"/>
  <c r="N32" i="11"/>
  <c r="H32" i="11"/>
  <c r="J32" i="11" s="1"/>
  <c r="H47" i="4"/>
  <c r="I47" i="4" s="1"/>
  <c r="G47" i="4"/>
  <c r="L47" i="4"/>
  <c r="P47" i="4"/>
  <c r="K171" i="5"/>
  <c r="M171" i="5" s="1"/>
  <c r="F171" i="5"/>
  <c r="H171" i="5" s="1"/>
  <c r="E47" i="4"/>
  <c r="Q46" i="4"/>
  <c r="R46" i="4" s="1"/>
  <c r="I172" i="5"/>
  <c r="D172" i="5"/>
  <c r="E172" i="5"/>
  <c r="C173" i="5"/>
  <c r="J172" i="5"/>
  <c r="D93" i="4"/>
  <c r="C94" i="4"/>
  <c r="J35" i="6"/>
  <c r="K35" i="6"/>
  <c r="L35" i="6" s="1"/>
  <c r="N35" i="6" s="1"/>
  <c r="O35" i="6" s="1"/>
  <c r="J47" i="4" l="1"/>
  <c r="K47" i="4" s="1"/>
  <c r="M47" i="4" s="1"/>
  <c r="F48" i="4" s="1"/>
  <c r="P48" i="4" s="1"/>
  <c r="K32" i="11"/>
  <c r="L32" i="11" s="1"/>
  <c r="I173" i="5"/>
  <c r="E173" i="5"/>
  <c r="C174" i="5"/>
  <c r="J173" i="5"/>
  <c r="D173" i="5"/>
  <c r="Q47" i="4"/>
  <c r="R47" i="4" s="1"/>
  <c r="K172" i="5"/>
  <c r="M172" i="5" s="1"/>
  <c r="F172" i="5"/>
  <c r="H172" i="5" s="1"/>
  <c r="G36" i="6"/>
  <c r="P35" i="6"/>
  <c r="H36" i="6" s="1"/>
  <c r="R36" i="6" s="1"/>
  <c r="C95" i="4"/>
  <c r="D94" i="4"/>
  <c r="N45" i="12" l="1"/>
  <c r="J45" i="12"/>
  <c r="K45" i="12" s="1"/>
  <c r="E45" i="12" s="1"/>
  <c r="L48" i="4"/>
  <c r="G48" i="4"/>
  <c r="H48" i="4"/>
  <c r="I48" i="4" s="1"/>
  <c r="J48" i="4" s="1"/>
  <c r="K48" i="4" s="1"/>
  <c r="E48" i="4"/>
  <c r="E49" i="4" s="1"/>
  <c r="M32" i="11"/>
  <c r="E33" i="11" s="1"/>
  <c r="F33" i="11" s="1"/>
  <c r="G33" i="11" s="1"/>
  <c r="I33" i="11" s="1"/>
  <c r="F173" i="5"/>
  <c r="H173" i="5" s="1"/>
  <c r="K173" i="5"/>
  <c r="M173" i="5" s="1"/>
  <c r="Q48" i="4"/>
  <c r="R48" i="4" s="1"/>
  <c r="C175" i="5"/>
  <c r="J174" i="5"/>
  <c r="D174" i="5"/>
  <c r="E174" i="5"/>
  <c r="I174" i="5"/>
  <c r="D95" i="4"/>
  <c r="C96" i="4"/>
  <c r="I36" i="6"/>
  <c r="H45" i="12" l="1"/>
  <c r="I45" i="12" s="1"/>
  <c r="L45" i="12" s="1"/>
  <c r="F46" i="12" s="1"/>
  <c r="G46" i="12" s="1"/>
  <c r="M48" i="4"/>
  <c r="F49" i="4" s="1"/>
  <c r="H33" i="11"/>
  <c r="J33" i="11" s="1"/>
  <c r="N33" i="11"/>
  <c r="D175" i="5"/>
  <c r="E175" i="5"/>
  <c r="C176" i="5"/>
  <c r="J175" i="5"/>
  <c r="I175" i="5"/>
  <c r="K174" i="5"/>
  <c r="M174" i="5" s="1"/>
  <c r="F174" i="5"/>
  <c r="H174" i="5" s="1"/>
  <c r="C97" i="4"/>
  <c r="D96" i="4"/>
  <c r="K36" i="6"/>
  <c r="L36" i="6" s="1"/>
  <c r="J36" i="6"/>
  <c r="P49" i="4" l="1"/>
  <c r="G49" i="4"/>
  <c r="H49" i="4"/>
  <c r="I49" i="4" s="1"/>
  <c r="J49" i="4" s="1"/>
  <c r="K49" i="4" s="1"/>
  <c r="L49" i="4"/>
  <c r="K33" i="11"/>
  <c r="L33" i="11" s="1"/>
  <c r="E176" i="5"/>
  <c r="I176" i="5"/>
  <c r="D176" i="5"/>
  <c r="J176" i="5"/>
  <c r="C177" i="5"/>
  <c r="F175" i="5"/>
  <c r="H175" i="5" s="1"/>
  <c r="K175" i="5"/>
  <c r="M175" i="5" s="1"/>
  <c r="C98" i="4"/>
  <c r="D97" i="4"/>
  <c r="N36" i="6"/>
  <c r="O36" i="6" s="1"/>
  <c r="N46" i="12" l="1"/>
  <c r="J46" i="12"/>
  <c r="K46" i="12" s="1"/>
  <c r="Q49" i="4"/>
  <c r="R49" i="4" s="1"/>
  <c r="M49" i="4"/>
  <c r="F50" i="4" s="1"/>
  <c r="E50" i="4"/>
  <c r="M33" i="11"/>
  <c r="E34" i="11" s="1"/>
  <c r="F34" i="11" s="1"/>
  <c r="F176" i="5"/>
  <c r="H176" i="5" s="1"/>
  <c r="K176" i="5"/>
  <c r="M176" i="5" s="1"/>
  <c r="E177" i="5"/>
  <c r="C178" i="5"/>
  <c r="D177" i="5"/>
  <c r="J177" i="5"/>
  <c r="I177" i="5"/>
  <c r="G37" i="6"/>
  <c r="P36" i="6"/>
  <c r="H37" i="6" s="1"/>
  <c r="R37" i="6" s="1"/>
  <c r="D98" i="4"/>
  <c r="C99" i="4"/>
  <c r="E46" i="12" l="1"/>
  <c r="P50" i="4"/>
  <c r="G50" i="4"/>
  <c r="L50" i="4"/>
  <c r="H50" i="4"/>
  <c r="I50" i="4" s="1"/>
  <c r="J50" i="4" s="1"/>
  <c r="K50" i="4" s="1"/>
  <c r="M50" i="4" s="1"/>
  <c r="F51" i="4" s="1"/>
  <c r="G34" i="11"/>
  <c r="I34" i="11" s="1"/>
  <c r="F177" i="5"/>
  <c r="H177" i="5" s="1"/>
  <c r="K177" i="5"/>
  <c r="M177" i="5" s="1"/>
  <c r="J178" i="5"/>
  <c r="D178" i="5"/>
  <c r="E178" i="5"/>
  <c r="I178" i="5"/>
  <c r="C179" i="5"/>
  <c r="I37" i="6"/>
  <c r="C100" i="4"/>
  <c r="D99" i="4"/>
  <c r="H46" i="12" l="1"/>
  <c r="I46" i="12" s="1"/>
  <c r="L46" i="12" s="1"/>
  <c r="F47" i="12" s="1"/>
  <c r="G47" i="12" s="1"/>
  <c r="E51" i="4"/>
  <c r="Q50" i="4"/>
  <c r="R50" i="4" s="1"/>
  <c r="G51" i="4"/>
  <c r="H51" i="4"/>
  <c r="I51" i="4" s="1"/>
  <c r="J51" i="4" s="1"/>
  <c r="K51" i="4" s="1"/>
  <c r="P51" i="4"/>
  <c r="L51" i="4"/>
  <c r="Q51" i="4"/>
  <c r="H34" i="11"/>
  <c r="J34" i="11" s="1"/>
  <c r="N34" i="11"/>
  <c r="E179" i="5"/>
  <c r="J179" i="5"/>
  <c r="I179" i="5"/>
  <c r="D179" i="5"/>
  <c r="C180" i="5"/>
  <c r="F178" i="5"/>
  <c r="H178" i="5" s="1"/>
  <c r="K178" i="5"/>
  <c r="M178" i="5" s="1"/>
  <c r="C101" i="4"/>
  <c r="D100" i="4"/>
  <c r="J37" i="6"/>
  <c r="K37" i="6"/>
  <c r="L37" i="6" s="1"/>
  <c r="R51" i="4" l="1"/>
  <c r="M51" i="4"/>
  <c r="F52" i="4" s="1"/>
  <c r="E52" i="4"/>
  <c r="K34" i="11"/>
  <c r="L34" i="11" s="1"/>
  <c r="M34" i="11" s="1"/>
  <c r="E35" i="11" s="1"/>
  <c r="F35" i="11" s="1"/>
  <c r="I180" i="5"/>
  <c r="D180" i="5"/>
  <c r="J180" i="5"/>
  <c r="E180" i="5"/>
  <c r="C181" i="5"/>
  <c r="F179" i="5"/>
  <c r="H179" i="5" s="1"/>
  <c r="K179" i="5"/>
  <c r="M179" i="5" s="1"/>
  <c r="N37" i="6"/>
  <c r="O37" i="6" s="1"/>
  <c r="G38" i="6" s="1"/>
  <c r="C102" i="4"/>
  <c r="D101" i="4"/>
  <c r="N47" i="12" l="1"/>
  <c r="J47" i="12"/>
  <c r="K47" i="12" s="1"/>
  <c r="P37" i="6"/>
  <c r="H38" i="6" s="1"/>
  <c r="R38" i="6" s="1"/>
  <c r="G52" i="4"/>
  <c r="P52" i="4"/>
  <c r="H52" i="4"/>
  <c r="I52" i="4" s="1"/>
  <c r="L52" i="4"/>
  <c r="G35" i="11"/>
  <c r="I35" i="11" s="1"/>
  <c r="E181" i="5"/>
  <c r="J181" i="5"/>
  <c r="I181" i="5"/>
  <c r="D181" i="5"/>
  <c r="C182" i="5"/>
  <c r="K180" i="5"/>
  <c r="M180" i="5" s="1"/>
  <c r="F180" i="5"/>
  <c r="H180" i="5" s="1"/>
  <c r="D102" i="4"/>
  <c r="C103" i="4"/>
  <c r="E47" i="12" l="1"/>
  <c r="Q52" i="4"/>
  <c r="R52" i="4" s="1"/>
  <c r="I38" i="6"/>
  <c r="J52" i="4"/>
  <c r="K52" i="4" s="1"/>
  <c r="H35" i="11"/>
  <c r="J35" i="11" s="1"/>
  <c r="N35" i="11"/>
  <c r="J182" i="5"/>
  <c r="D182" i="5"/>
  <c r="E182" i="5"/>
  <c r="I182" i="5"/>
  <c r="C183" i="5"/>
  <c r="F181" i="5"/>
  <c r="H181" i="5" s="1"/>
  <c r="K181" i="5"/>
  <c r="M181" i="5" s="1"/>
  <c r="D103" i="4"/>
  <c r="C104" i="4"/>
  <c r="J38" i="6"/>
  <c r="K38" i="6"/>
  <c r="L38" i="6" s="1"/>
  <c r="H47" i="12" l="1"/>
  <c r="I47" i="12" s="1"/>
  <c r="L47" i="12" s="1"/>
  <c r="F48" i="12" s="1"/>
  <c r="G48" i="12" s="1"/>
  <c r="E53" i="4"/>
  <c r="M52" i="4"/>
  <c r="F53" i="4" s="1"/>
  <c r="K35" i="11"/>
  <c r="L35" i="11" s="1"/>
  <c r="D183" i="5"/>
  <c r="E183" i="5"/>
  <c r="C184" i="5"/>
  <c r="J183" i="5"/>
  <c r="I183" i="5"/>
  <c r="N38" i="6"/>
  <c r="O38" i="6" s="1"/>
  <c r="P38" i="6" s="1"/>
  <c r="H39" i="6" s="1"/>
  <c r="R39" i="6" s="1"/>
  <c r="K182" i="5"/>
  <c r="M182" i="5" s="1"/>
  <c r="F182" i="5"/>
  <c r="H182" i="5" s="1"/>
  <c r="C105" i="4"/>
  <c r="D104" i="4"/>
  <c r="E54" i="4" l="1"/>
  <c r="G53" i="4"/>
  <c r="H53" i="4"/>
  <c r="I53" i="4" s="1"/>
  <c r="J53" i="4" s="1"/>
  <c r="K53" i="4" s="1"/>
  <c r="M53" i="4" s="1"/>
  <c r="F54" i="4" s="1"/>
  <c r="P54" i="4" s="1"/>
  <c r="L53" i="4"/>
  <c r="Q53" i="4"/>
  <c r="R53" i="4" s="1"/>
  <c r="P53" i="4"/>
  <c r="M35" i="11"/>
  <c r="E36" i="11" s="1"/>
  <c r="F36" i="11" s="1"/>
  <c r="G39" i="6"/>
  <c r="E184" i="5"/>
  <c r="C185" i="5"/>
  <c r="J184" i="5"/>
  <c r="I184" i="5"/>
  <c r="D184" i="5"/>
  <c r="G54" i="4"/>
  <c r="L54" i="4"/>
  <c r="K183" i="5"/>
  <c r="M183" i="5" s="1"/>
  <c r="F183" i="5"/>
  <c r="H183" i="5" s="1"/>
  <c r="D105" i="4"/>
  <c r="C106" i="4"/>
  <c r="I39" i="6"/>
  <c r="J48" i="12" l="1"/>
  <c r="K48" i="12" s="1"/>
  <c r="N48" i="12"/>
  <c r="H54" i="4"/>
  <c r="G36" i="11"/>
  <c r="I36" i="11" s="1"/>
  <c r="F184" i="5"/>
  <c r="H184" i="5" s="1"/>
  <c r="K184" i="5"/>
  <c r="M184" i="5" s="1"/>
  <c r="D185" i="5"/>
  <c r="I185" i="5"/>
  <c r="E185" i="5"/>
  <c r="J185" i="5"/>
  <c r="C186" i="5"/>
  <c r="D106" i="4"/>
  <c r="C107" i="4"/>
  <c r="J39" i="6"/>
  <c r="K39" i="6"/>
  <c r="L39" i="6" s="1"/>
  <c r="E48" i="12" l="1"/>
  <c r="I54" i="4"/>
  <c r="J54" i="4" s="1"/>
  <c r="K54" i="4" s="1"/>
  <c r="Q54" i="4"/>
  <c r="R54" i="4" s="1"/>
  <c r="H36" i="11"/>
  <c r="J36" i="11" s="1"/>
  <c r="N36" i="11"/>
  <c r="F185" i="5"/>
  <c r="H185" i="5" s="1"/>
  <c r="K185" i="5"/>
  <c r="M185" i="5" s="1"/>
  <c r="N39" i="6"/>
  <c r="O39" i="6" s="1"/>
  <c r="G40" i="6" s="1"/>
  <c r="D186" i="5"/>
  <c r="J186" i="5"/>
  <c r="C187" i="5"/>
  <c r="E186" i="5"/>
  <c r="I186" i="5"/>
  <c r="D107" i="4"/>
  <c r="C108" i="4"/>
  <c r="H48" i="12" l="1"/>
  <c r="I48" i="12" s="1"/>
  <c r="L48" i="12" s="1"/>
  <c r="F49" i="12" s="1"/>
  <c r="G49" i="12" s="1"/>
  <c r="E55" i="4"/>
  <c r="M54" i="4"/>
  <c r="F55" i="4" s="1"/>
  <c r="K36" i="11"/>
  <c r="L36" i="11" s="1"/>
  <c r="P39" i="6"/>
  <c r="H40" i="6" s="1"/>
  <c r="R40" i="6" s="1"/>
  <c r="I187" i="5"/>
  <c r="J187" i="5"/>
  <c r="E187" i="5"/>
  <c r="C188" i="5"/>
  <c r="D187" i="5"/>
  <c r="K186" i="5"/>
  <c r="M186" i="5" s="1"/>
  <c r="F186" i="5"/>
  <c r="H186" i="5" s="1"/>
  <c r="I40" i="6"/>
  <c r="C109" i="4"/>
  <c r="D108" i="4"/>
  <c r="P55" i="4" l="1"/>
  <c r="L55" i="4"/>
  <c r="G55" i="4"/>
  <c r="H55" i="4"/>
  <c r="I55" i="4" s="1"/>
  <c r="J55" i="4" s="1"/>
  <c r="K55" i="4" s="1"/>
  <c r="M55" i="4" s="1"/>
  <c r="F56" i="4" s="1"/>
  <c r="M36" i="11"/>
  <c r="E37" i="11" s="1"/>
  <c r="F37" i="11" s="1"/>
  <c r="F187" i="5"/>
  <c r="H187" i="5" s="1"/>
  <c r="K187" i="5"/>
  <c r="M187" i="5" s="1"/>
  <c r="J188" i="5"/>
  <c r="D188" i="5"/>
  <c r="E188" i="5"/>
  <c r="I188" i="5"/>
  <c r="K40" i="6"/>
  <c r="L40" i="6" s="1"/>
  <c r="J40" i="6"/>
  <c r="C110" i="4"/>
  <c r="D109" i="4"/>
  <c r="N49" i="12" l="1"/>
  <c r="J49" i="12"/>
  <c r="K49" i="12" s="1"/>
  <c r="E49" i="12" s="1"/>
  <c r="N40" i="6"/>
  <c r="O40" i="6" s="1"/>
  <c r="E56" i="4"/>
  <c r="P56" i="4"/>
  <c r="H56" i="4"/>
  <c r="I56" i="4" s="1"/>
  <c r="G56" i="4"/>
  <c r="L56" i="4"/>
  <c r="Q56" i="4"/>
  <c r="R56" i="4" s="1"/>
  <c r="Q55" i="4"/>
  <c r="R55" i="4" s="1"/>
  <c r="G37" i="11"/>
  <c r="I37" i="11" s="1"/>
  <c r="K188" i="5"/>
  <c r="M188" i="5" s="1"/>
  <c r="F188" i="5"/>
  <c r="H188" i="5" s="1"/>
  <c r="C111" i="4"/>
  <c r="D110" i="4"/>
  <c r="G41" i="6"/>
  <c r="P40" i="6"/>
  <c r="H41" i="6" s="1"/>
  <c r="R41" i="6" s="1"/>
  <c r="H49" i="12" l="1"/>
  <c r="I49" i="12" s="1"/>
  <c r="L49" i="12" s="1"/>
  <c r="F50" i="12" s="1"/>
  <c r="G50" i="12" s="1"/>
  <c r="J56" i="4"/>
  <c r="K56" i="4" s="1"/>
  <c r="H37" i="11"/>
  <c r="J37" i="11" s="1"/>
  <c r="N37" i="11"/>
  <c r="I41" i="6"/>
  <c r="C112" i="4"/>
  <c r="D111" i="4"/>
  <c r="M56" i="4" l="1"/>
  <c r="F57" i="4" s="1"/>
  <c r="E57" i="4"/>
  <c r="K37" i="11"/>
  <c r="L37" i="11" s="1"/>
  <c r="K41" i="6"/>
  <c r="L41" i="6" s="1"/>
  <c r="J41" i="6"/>
  <c r="C113" i="4"/>
  <c r="D112" i="4"/>
  <c r="N50" i="12" l="1"/>
  <c r="J50" i="12"/>
  <c r="K50" i="12" s="1"/>
  <c r="P57" i="4"/>
  <c r="L57" i="4"/>
  <c r="H57" i="4"/>
  <c r="G57" i="4"/>
  <c r="M37" i="11"/>
  <c r="E38" i="11" s="1"/>
  <c r="F38" i="11" s="1"/>
  <c r="C114" i="4"/>
  <c r="D113" i="4"/>
  <c r="N41" i="6"/>
  <c r="O41" i="6" s="1"/>
  <c r="E50" i="12" l="1"/>
  <c r="I57" i="4"/>
  <c r="J57" i="4" s="1"/>
  <c r="K57" i="4" s="1"/>
  <c r="Q57" i="4"/>
  <c r="R57" i="4" s="1"/>
  <c r="G38" i="11"/>
  <c r="I38" i="11" s="1"/>
  <c r="P41" i="6"/>
  <c r="H42" i="6" s="1"/>
  <c r="R42" i="6" s="1"/>
  <c r="G42" i="6"/>
  <c r="D114" i="4"/>
  <c r="C115" i="4"/>
  <c r="H50" i="12" l="1"/>
  <c r="I50" i="12" s="1"/>
  <c r="L50" i="12" s="1"/>
  <c r="F51" i="12" s="1"/>
  <c r="G51" i="12" s="1"/>
  <c r="M57" i="4"/>
  <c r="F58" i="4" s="1"/>
  <c r="E58" i="4"/>
  <c r="H38" i="11"/>
  <c r="J38" i="11" s="1"/>
  <c r="N38" i="11"/>
  <c r="D115" i="4"/>
  <c r="C116" i="4"/>
  <c r="I42" i="6"/>
  <c r="P58" i="4" l="1"/>
  <c r="L58" i="4"/>
  <c r="G58" i="4"/>
  <c r="H58" i="4"/>
  <c r="K38" i="11"/>
  <c r="L38" i="11" s="1"/>
  <c r="D116" i="4"/>
  <c r="C117" i="4"/>
  <c r="J42" i="6"/>
  <c r="K42" i="6"/>
  <c r="L42" i="6" s="1"/>
  <c r="N42" i="6" s="1"/>
  <c r="O42" i="6" s="1"/>
  <c r="M38" i="11" l="1"/>
  <c r="E39" i="11" s="1"/>
  <c r="F39" i="11" s="1"/>
  <c r="G39" i="11" s="1"/>
  <c r="I39" i="11" s="1"/>
  <c r="J51" i="12"/>
  <c r="K51" i="12" s="1"/>
  <c r="N51" i="12"/>
  <c r="I58" i="4"/>
  <c r="J58" i="4" s="1"/>
  <c r="K58" i="4" s="1"/>
  <c r="Q58" i="4"/>
  <c r="R58" i="4" s="1"/>
  <c r="C118" i="4"/>
  <c r="D117" i="4"/>
  <c r="P42" i="6"/>
  <c r="H43" i="6" s="1"/>
  <c r="R43" i="6" s="1"/>
  <c r="G43" i="6"/>
  <c r="E51" i="12" l="1"/>
  <c r="E59" i="4"/>
  <c r="M58" i="4"/>
  <c r="F59" i="4" s="1"/>
  <c r="H39" i="11"/>
  <c r="J39" i="11" s="1"/>
  <c r="N39" i="11"/>
  <c r="I43" i="6"/>
  <c r="C119" i="4"/>
  <c r="D118" i="4"/>
  <c r="H51" i="12" l="1"/>
  <c r="I51" i="12" s="1"/>
  <c r="L51" i="12" s="1"/>
  <c r="F52" i="12" s="1"/>
  <c r="G52" i="12" s="1"/>
  <c r="P59" i="4"/>
  <c r="G59" i="4"/>
  <c r="L59" i="4"/>
  <c r="H59" i="4"/>
  <c r="I59" i="4" s="1"/>
  <c r="J59" i="4" s="1"/>
  <c r="K59" i="4" s="1"/>
  <c r="K39" i="11"/>
  <c r="L39" i="11" s="1"/>
  <c r="D119" i="4"/>
  <c r="C120" i="4"/>
  <c r="J43" i="6"/>
  <c r="K43" i="6"/>
  <c r="L43" i="6" s="1"/>
  <c r="M39" i="11" l="1"/>
  <c r="E40" i="11" s="1"/>
  <c r="F40" i="11" s="1"/>
  <c r="G40" i="11" s="1"/>
  <c r="I40" i="11" s="1"/>
  <c r="M59" i="4"/>
  <c r="F60" i="4" s="1"/>
  <c r="Q59" i="4"/>
  <c r="R59" i="4" s="1"/>
  <c r="E60" i="4"/>
  <c r="D120" i="4"/>
  <c r="C121" i="4"/>
  <c r="N43" i="6"/>
  <c r="O43" i="6" s="1"/>
  <c r="J52" i="12" l="1"/>
  <c r="K52" i="12" s="1"/>
  <c r="N52" i="12"/>
  <c r="P60" i="4"/>
  <c r="H60" i="4"/>
  <c r="I60" i="4" s="1"/>
  <c r="J60" i="4" s="1"/>
  <c r="K60" i="4" s="1"/>
  <c r="M60" i="4" s="1"/>
  <c r="F61" i="4" s="1"/>
  <c r="L60" i="4"/>
  <c r="G60" i="4"/>
  <c r="Q60" i="4"/>
  <c r="R60" i="4" s="1"/>
  <c r="H40" i="11"/>
  <c r="J40" i="11" s="1"/>
  <c r="N40" i="11"/>
  <c r="G44" i="6"/>
  <c r="P43" i="6"/>
  <c r="H44" i="6" s="1"/>
  <c r="R44" i="6" s="1"/>
  <c r="C122" i="4"/>
  <c r="D121" i="4"/>
  <c r="E52" i="12" l="1"/>
  <c r="E61" i="4"/>
  <c r="H61" i="4"/>
  <c r="I61" i="4" s="1"/>
  <c r="L61" i="4"/>
  <c r="P61" i="4"/>
  <c r="G61" i="4"/>
  <c r="K40" i="11"/>
  <c r="L40" i="11" s="1"/>
  <c r="M40" i="11" s="1"/>
  <c r="E41" i="11" s="1"/>
  <c r="F41" i="11" s="1"/>
  <c r="I44" i="6"/>
  <c r="C123" i="4"/>
  <c r="D122" i="4"/>
  <c r="H52" i="12" l="1"/>
  <c r="I52" i="12" s="1"/>
  <c r="L52" i="12" s="1"/>
  <c r="F53" i="12" s="1"/>
  <c r="G53" i="12" s="1"/>
  <c r="Q61" i="4"/>
  <c r="R61" i="4" s="1"/>
  <c r="J61" i="4"/>
  <c r="K61" i="4" s="1"/>
  <c r="G41" i="11"/>
  <c r="I41" i="11" s="1"/>
  <c r="D123" i="4"/>
  <c r="C124" i="4"/>
  <c r="K44" i="6"/>
  <c r="L44" i="6" s="1"/>
  <c r="J44" i="6"/>
  <c r="M61" i="4" l="1"/>
  <c r="F62" i="4" s="1"/>
  <c r="E62" i="4"/>
  <c r="N44" i="6"/>
  <c r="O44" i="6" s="1"/>
  <c r="G45" i="6" s="1"/>
  <c r="H41" i="11"/>
  <c r="J41" i="11" s="1"/>
  <c r="N41" i="11"/>
  <c r="C125" i="4"/>
  <c r="D124" i="4"/>
  <c r="N53" i="12" l="1"/>
  <c r="J53" i="12"/>
  <c r="K53" i="12" s="1"/>
  <c r="E53" i="12" s="1"/>
  <c r="Q62" i="4"/>
  <c r="R62" i="4" s="1"/>
  <c r="P44" i="6"/>
  <c r="H45" i="6" s="1"/>
  <c r="R45" i="6" s="1"/>
  <c r="G62" i="4"/>
  <c r="P62" i="4"/>
  <c r="L62" i="4"/>
  <c r="H62" i="4"/>
  <c r="I62" i="4" s="1"/>
  <c r="J62" i="4" s="1"/>
  <c r="K62" i="4" s="1"/>
  <c r="K41" i="11"/>
  <c r="L41" i="11" s="1"/>
  <c r="M41" i="11" s="1"/>
  <c r="E42" i="11" s="1"/>
  <c r="F42" i="11" s="1"/>
  <c r="C126" i="4"/>
  <c r="D125" i="4"/>
  <c r="H53" i="12" l="1"/>
  <c r="I53" i="12" s="1"/>
  <c r="L53" i="12" s="1"/>
  <c r="F54" i="12" s="1"/>
  <c r="G54" i="12" s="1"/>
  <c r="I45" i="6"/>
  <c r="M62" i="4"/>
  <c r="F63" i="4" s="1"/>
  <c r="E63" i="4"/>
  <c r="G42" i="11"/>
  <c r="I42" i="11" s="1"/>
  <c r="J45" i="6"/>
  <c r="K45" i="6"/>
  <c r="L45" i="6" s="1"/>
  <c r="N45" i="6" s="1"/>
  <c r="O45" i="6" s="1"/>
  <c r="C127" i="4"/>
  <c r="D126" i="4"/>
  <c r="P63" i="4" l="1"/>
  <c r="L63" i="4"/>
  <c r="H63" i="4"/>
  <c r="I63" i="4" s="1"/>
  <c r="G63" i="4"/>
  <c r="Q63" i="4"/>
  <c r="R63" i="4" s="1"/>
  <c r="H42" i="11"/>
  <c r="J42" i="11" s="1"/>
  <c r="N42" i="11"/>
  <c r="D127" i="4"/>
  <c r="C128" i="4"/>
  <c r="P45" i="6"/>
  <c r="H46" i="6" s="1"/>
  <c r="R46" i="6" s="1"/>
  <c r="G46" i="6"/>
  <c r="J54" i="12" l="1"/>
  <c r="K54" i="12" s="1"/>
  <c r="E54" i="12" s="1"/>
  <c r="N54" i="12"/>
  <c r="J63" i="4"/>
  <c r="K63" i="4" s="1"/>
  <c r="K42" i="11"/>
  <c r="L42" i="11" s="1"/>
  <c r="C129" i="4"/>
  <c r="D128" i="4"/>
  <c r="I46" i="6"/>
  <c r="H54" i="12" l="1"/>
  <c r="I54" i="12" s="1"/>
  <c r="L54" i="12" s="1"/>
  <c r="F55" i="12" s="1"/>
  <c r="G55" i="12" s="1"/>
  <c r="M63" i="4"/>
  <c r="F64" i="4" s="1"/>
  <c r="E64" i="4"/>
  <c r="M42" i="11"/>
  <c r="E43" i="11" s="1"/>
  <c r="F43" i="11" s="1"/>
  <c r="J46" i="6"/>
  <c r="K46" i="6"/>
  <c r="L46" i="6" s="1"/>
  <c r="D129" i="4"/>
  <c r="C130" i="4"/>
  <c r="D130" i="4" s="1"/>
  <c r="H64" i="4" l="1"/>
  <c r="I64" i="4" s="1"/>
  <c r="L64" i="4"/>
  <c r="P64" i="4"/>
  <c r="G64" i="4"/>
  <c r="Q64" i="4"/>
  <c r="R64" i="4" s="1"/>
  <c r="G43" i="11"/>
  <c r="I43" i="11" s="1"/>
  <c r="N46" i="6"/>
  <c r="O46" i="6" s="1"/>
  <c r="P46" i="6" s="1"/>
  <c r="H47" i="6" s="1"/>
  <c r="R47" i="6" s="1"/>
  <c r="J55" i="12" l="1"/>
  <c r="K55" i="12" s="1"/>
  <c r="E55" i="12" s="1"/>
  <c r="N55" i="12"/>
  <c r="G47" i="6"/>
  <c r="J64" i="4"/>
  <c r="K64" i="4" s="1"/>
  <c r="H43" i="11"/>
  <c r="J43" i="11" s="1"/>
  <c r="N43" i="11"/>
  <c r="I47" i="6"/>
  <c r="H55" i="12" l="1"/>
  <c r="I55" i="12" s="1"/>
  <c r="L55" i="12" s="1"/>
  <c r="F56" i="12" s="1"/>
  <c r="G56" i="12" s="1"/>
  <c r="M64" i="4"/>
  <c r="F65" i="4" s="1"/>
  <c r="E65" i="4"/>
  <c r="K43" i="11"/>
  <c r="L43" i="11" s="1"/>
  <c r="J47" i="6"/>
  <c r="K47" i="6"/>
  <c r="L47" i="6" s="1"/>
  <c r="P65" i="4" l="1"/>
  <c r="H65" i="4"/>
  <c r="I65" i="4" s="1"/>
  <c r="J65" i="4" s="1"/>
  <c r="K65" i="4" s="1"/>
  <c r="M65" i="4" s="1"/>
  <c r="F66" i="4" s="1"/>
  <c r="L65" i="4"/>
  <c r="G65" i="4"/>
  <c r="M43" i="11"/>
  <c r="E44" i="11" s="1"/>
  <c r="F44" i="11" s="1"/>
  <c r="N47" i="6"/>
  <c r="O47" i="6" s="1"/>
  <c r="N56" i="12" l="1"/>
  <c r="J56" i="12"/>
  <c r="K56" i="12" s="1"/>
  <c r="H66" i="4"/>
  <c r="I66" i="4" s="1"/>
  <c r="J66" i="4" s="1"/>
  <c r="K66" i="4" s="1"/>
  <c r="M66" i="4" s="1"/>
  <c r="F67" i="4" s="1"/>
  <c r="G66" i="4"/>
  <c r="L66" i="4"/>
  <c r="P66" i="4"/>
  <c r="E66" i="4"/>
  <c r="Q65" i="4"/>
  <c r="R65" i="4" s="1"/>
  <c r="G44" i="11"/>
  <c r="I44" i="11" s="1"/>
  <c r="G48" i="6"/>
  <c r="P47" i="6"/>
  <c r="H48" i="6" s="1"/>
  <c r="R48" i="6" s="1"/>
  <c r="E56" i="12" l="1"/>
  <c r="E67" i="4"/>
  <c r="H67" i="4"/>
  <c r="I67" i="4" s="1"/>
  <c r="J67" i="4" s="1"/>
  <c r="K67" i="4" s="1"/>
  <c r="M67" i="4" s="1"/>
  <c r="F68" i="4" s="1"/>
  <c r="G67" i="4"/>
  <c r="L67" i="4"/>
  <c r="P67" i="4"/>
  <c r="Q67" i="4"/>
  <c r="Q66" i="4"/>
  <c r="R66" i="4" s="1"/>
  <c r="H44" i="11"/>
  <c r="J44" i="11" s="1"/>
  <c r="N44" i="11"/>
  <c r="I48" i="6"/>
  <c r="H56" i="12" l="1"/>
  <c r="I56" i="12" s="1"/>
  <c r="L56" i="12" s="1"/>
  <c r="F57" i="12" s="1"/>
  <c r="R67" i="4"/>
  <c r="H68" i="4"/>
  <c r="I68" i="4" s="1"/>
  <c r="G68" i="4"/>
  <c r="L68" i="4"/>
  <c r="P68" i="4"/>
  <c r="Q68" i="4"/>
  <c r="R68" i="4" s="1"/>
  <c r="E68" i="4"/>
  <c r="K44" i="11"/>
  <c r="L44" i="11" s="1"/>
  <c r="K48" i="6"/>
  <c r="L48" i="6" s="1"/>
  <c r="J48" i="6"/>
  <c r="M44" i="11" l="1"/>
  <c r="E45" i="11" s="1"/>
  <c r="F45" i="11" s="1"/>
  <c r="G45" i="11" s="1"/>
  <c r="I45" i="11" s="1"/>
  <c r="G57" i="12"/>
  <c r="J68" i="4"/>
  <c r="K68" i="4" s="1"/>
  <c r="M68" i="4" s="1"/>
  <c r="F69" i="4" s="1"/>
  <c r="N48" i="6"/>
  <c r="O48" i="6" s="1"/>
  <c r="J57" i="12" l="1"/>
  <c r="K57" i="12" s="1"/>
  <c r="N57" i="12"/>
  <c r="P69" i="4"/>
  <c r="H69" i="4"/>
  <c r="I69" i="4" s="1"/>
  <c r="Q69" i="4"/>
  <c r="R69" i="4" s="1"/>
  <c r="L69" i="4"/>
  <c r="G69" i="4"/>
  <c r="E69" i="4"/>
  <c r="H45" i="11"/>
  <c r="J45" i="11" s="1"/>
  <c r="N45" i="11"/>
  <c r="G49" i="6"/>
  <c r="P48" i="6"/>
  <c r="H49" i="6" s="1"/>
  <c r="R49" i="6" s="1"/>
  <c r="E57" i="12" l="1"/>
  <c r="H57" i="12" s="1"/>
  <c r="I57" i="12" s="1"/>
  <c r="L57" i="12" s="1"/>
  <c r="F58" i="12" s="1"/>
  <c r="J69" i="4"/>
  <c r="K69" i="4" s="1"/>
  <c r="M69" i="4" s="1"/>
  <c r="F70" i="4" s="1"/>
  <c r="K45" i="11"/>
  <c r="L45" i="11" s="1"/>
  <c r="I49" i="6"/>
  <c r="G58" i="12" l="1"/>
  <c r="H70" i="4"/>
  <c r="I70" i="4" s="1"/>
  <c r="P70" i="4"/>
  <c r="G70" i="4"/>
  <c r="L70" i="4"/>
  <c r="Q70" i="4"/>
  <c r="R70" i="4" s="1"/>
  <c r="E70" i="4"/>
  <c r="M45" i="11"/>
  <c r="E46" i="11" s="1"/>
  <c r="F46" i="11" s="1"/>
  <c r="K49" i="6"/>
  <c r="L49" i="6" s="1"/>
  <c r="J49" i="6"/>
  <c r="N58" i="12" l="1"/>
  <c r="J58" i="12"/>
  <c r="K58" i="12" s="1"/>
  <c r="J70" i="4"/>
  <c r="K70" i="4" s="1"/>
  <c r="M70" i="4" s="1"/>
  <c r="F71" i="4" s="1"/>
  <c r="G46" i="11"/>
  <c r="I46" i="11" s="1"/>
  <c r="N49" i="6"/>
  <c r="O49" i="6" s="1"/>
  <c r="E58" i="12" l="1"/>
  <c r="H58" i="12" s="1"/>
  <c r="I58" i="12" s="1"/>
  <c r="L58" i="12" s="1"/>
  <c r="F59" i="12" s="1"/>
  <c r="P71" i="4"/>
  <c r="L71" i="4"/>
  <c r="G71" i="4"/>
  <c r="H71" i="4"/>
  <c r="I71" i="4" s="1"/>
  <c r="J71" i="4" s="1"/>
  <c r="K71" i="4" s="1"/>
  <c r="M71" i="4" s="1"/>
  <c r="F72" i="4" s="1"/>
  <c r="Q71" i="4"/>
  <c r="E71" i="4"/>
  <c r="E72" i="4" s="1"/>
  <c r="H46" i="11"/>
  <c r="J46" i="11" s="1"/>
  <c r="N46" i="11"/>
  <c r="G50" i="6"/>
  <c r="P49" i="6"/>
  <c r="H50" i="6" s="1"/>
  <c r="R50" i="6" s="1"/>
  <c r="G59" i="12" l="1"/>
  <c r="P72" i="4"/>
  <c r="G72" i="4"/>
  <c r="L72" i="4"/>
  <c r="H72" i="4"/>
  <c r="I72" i="4" s="1"/>
  <c r="J72" i="4" s="1"/>
  <c r="K72" i="4" s="1"/>
  <c r="M72" i="4" s="1"/>
  <c r="F73" i="4" s="1"/>
  <c r="R71" i="4"/>
  <c r="K46" i="11"/>
  <c r="L46" i="11" s="1"/>
  <c r="I50" i="6"/>
  <c r="M46" i="11" l="1"/>
  <c r="E47" i="11" s="1"/>
  <c r="F47" i="11" s="1"/>
  <c r="G47" i="11" s="1"/>
  <c r="I47" i="11" s="1"/>
  <c r="J59" i="12"/>
  <c r="K59" i="12" s="1"/>
  <c r="N59" i="12"/>
  <c r="P73" i="4"/>
  <c r="G73" i="4"/>
  <c r="L73" i="4"/>
  <c r="H73" i="4"/>
  <c r="I73" i="4" s="1"/>
  <c r="J73" i="4" s="1"/>
  <c r="K73" i="4" s="1"/>
  <c r="M73" i="4" s="1"/>
  <c r="F74" i="4" s="1"/>
  <c r="Q72" i="4"/>
  <c r="R72" i="4" s="1"/>
  <c r="E73" i="4"/>
  <c r="K50" i="6"/>
  <c r="L50" i="6" s="1"/>
  <c r="J50" i="6"/>
  <c r="E59" i="12" l="1"/>
  <c r="H59" i="12" s="1"/>
  <c r="I59" i="12" s="1"/>
  <c r="L59" i="12" s="1"/>
  <c r="F60" i="12" s="1"/>
  <c r="E74" i="4"/>
  <c r="Q73" i="4"/>
  <c r="R73" i="4" s="1"/>
  <c r="H74" i="4"/>
  <c r="I74" i="4" s="1"/>
  <c r="P74" i="4"/>
  <c r="G74" i="4"/>
  <c r="Q74" i="4"/>
  <c r="R74" i="4" s="1"/>
  <c r="L74" i="4"/>
  <c r="N50" i="6"/>
  <c r="O50" i="6" s="1"/>
  <c r="G51" i="6" s="1"/>
  <c r="H47" i="11"/>
  <c r="J47" i="11" s="1"/>
  <c r="N47" i="11"/>
  <c r="G60" i="12" l="1"/>
  <c r="P50" i="6"/>
  <c r="H51" i="6" s="1"/>
  <c r="R51" i="6" s="1"/>
  <c r="J74" i="4"/>
  <c r="K74" i="4" s="1"/>
  <c r="M74" i="4" s="1"/>
  <c r="F75" i="4" s="1"/>
  <c r="K47" i="11"/>
  <c r="L47" i="11" s="1"/>
  <c r="I51" i="6"/>
  <c r="M47" i="11" l="1"/>
  <c r="E48" i="11" s="1"/>
  <c r="F48" i="11" s="1"/>
  <c r="G48" i="11" s="1"/>
  <c r="I48" i="11" s="1"/>
  <c r="N60" i="12"/>
  <c r="J60" i="12"/>
  <c r="K60" i="12" s="1"/>
  <c r="L75" i="4"/>
  <c r="G75" i="4"/>
  <c r="P75" i="4"/>
  <c r="H75" i="4"/>
  <c r="E75" i="4"/>
  <c r="K51" i="6"/>
  <c r="L51" i="6" s="1"/>
  <c r="J51" i="6"/>
  <c r="E60" i="12" l="1"/>
  <c r="H60" i="12" s="1"/>
  <c r="I60" i="12" s="1"/>
  <c r="L60" i="12" s="1"/>
  <c r="F61" i="12" s="1"/>
  <c r="I75" i="4"/>
  <c r="J75" i="4" s="1"/>
  <c r="K75" i="4" s="1"/>
  <c r="Q75" i="4"/>
  <c r="R75" i="4" s="1"/>
  <c r="H48" i="11"/>
  <c r="J48" i="11" s="1"/>
  <c r="N48" i="11"/>
  <c r="N51" i="6"/>
  <c r="O51" i="6" s="1"/>
  <c r="G61" i="12" l="1"/>
  <c r="M75" i="4"/>
  <c r="F76" i="4" s="1"/>
  <c r="E76" i="4"/>
  <c r="K48" i="11"/>
  <c r="L48" i="11" s="1"/>
  <c r="G52" i="6"/>
  <c r="P51" i="6"/>
  <c r="H52" i="6" s="1"/>
  <c r="R52" i="6" s="1"/>
  <c r="J61" i="12" l="1"/>
  <c r="K61" i="12" s="1"/>
  <c r="N61" i="12"/>
  <c r="G76" i="4"/>
  <c r="L76" i="4"/>
  <c r="H76" i="4"/>
  <c r="I76" i="4" s="1"/>
  <c r="J76" i="4" s="1"/>
  <c r="K76" i="4" s="1"/>
  <c r="M76" i="4" s="1"/>
  <c r="F77" i="4" s="1"/>
  <c r="P76" i="4"/>
  <c r="M48" i="11"/>
  <c r="E49" i="11" s="1"/>
  <c r="F49" i="11" s="1"/>
  <c r="I52" i="6"/>
  <c r="E61" i="12" l="1"/>
  <c r="H61" i="12" s="1"/>
  <c r="I61" i="12" s="1"/>
  <c r="L61" i="12" s="1"/>
  <c r="F62" i="12" s="1"/>
  <c r="E77" i="4"/>
  <c r="Q76" i="4"/>
  <c r="R76" i="4" s="1"/>
  <c r="G49" i="11"/>
  <c r="I49" i="11" s="1"/>
  <c r="K52" i="6"/>
  <c r="L52" i="6" s="1"/>
  <c r="J52" i="6"/>
  <c r="P77" i="4"/>
  <c r="H77" i="4"/>
  <c r="I77" i="4" s="1"/>
  <c r="G77" i="4"/>
  <c r="L77" i="4"/>
  <c r="G62" i="12" l="1"/>
  <c r="Q77" i="4"/>
  <c r="H49" i="11"/>
  <c r="J49" i="11" s="1"/>
  <c r="N49" i="11"/>
  <c r="R77" i="4"/>
  <c r="N52" i="6"/>
  <c r="O52" i="6" s="1"/>
  <c r="P52" i="6" s="1"/>
  <c r="H53" i="6" s="1"/>
  <c r="R53" i="6" s="1"/>
  <c r="J77" i="4"/>
  <c r="K77" i="4" s="1"/>
  <c r="N62" i="12" l="1"/>
  <c r="J62" i="12"/>
  <c r="K62" i="12" s="1"/>
  <c r="G53" i="6"/>
  <c r="K49" i="11"/>
  <c r="L49" i="11" s="1"/>
  <c r="I53" i="6"/>
  <c r="M77" i="4"/>
  <c r="F78" i="4" s="1"/>
  <c r="E78" i="4"/>
  <c r="E62" i="12" l="1"/>
  <c r="H62" i="12" s="1"/>
  <c r="I62" i="12" s="1"/>
  <c r="L62" i="12" s="1"/>
  <c r="F63" i="12" s="1"/>
  <c r="M49" i="11"/>
  <c r="E50" i="11" s="1"/>
  <c r="F50" i="11" s="1"/>
  <c r="J53" i="6"/>
  <c r="K53" i="6"/>
  <c r="L53" i="6" s="1"/>
  <c r="N53" i="6" s="1"/>
  <c r="O53" i="6" s="1"/>
  <c r="H78" i="4"/>
  <c r="I78" i="4" s="1"/>
  <c r="G78" i="4"/>
  <c r="P78" i="4"/>
  <c r="L78" i="4"/>
  <c r="G63" i="12" l="1"/>
  <c r="G50" i="11"/>
  <c r="I50" i="11" s="1"/>
  <c r="J78" i="4"/>
  <c r="K78" i="4" s="1"/>
  <c r="M78" i="4" s="1"/>
  <c r="F79" i="4" s="1"/>
  <c r="P79" i="4" s="1"/>
  <c r="G54" i="6"/>
  <c r="P53" i="6"/>
  <c r="H54" i="6" s="1"/>
  <c r="R54" i="6" s="1"/>
  <c r="Q78" i="4"/>
  <c r="R78" i="4" s="1"/>
  <c r="E79" i="4"/>
  <c r="J63" i="12" l="1"/>
  <c r="K63" i="12" s="1"/>
  <c r="N63" i="12"/>
  <c r="H50" i="11"/>
  <c r="J50" i="11" s="1"/>
  <c r="N50" i="11"/>
  <c r="H79" i="4"/>
  <c r="I79" i="4" s="1"/>
  <c r="L79" i="4"/>
  <c r="G79" i="4"/>
  <c r="Q79" i="4"/>
  <c r="R79" i="4" s="1"/>
  <c r="I54" i="6"/>
  <c r="E63" i="12" l="1"/>
  <c r="H63" i="12" s="1"/>
  <c r="I63" i="12" s="1"/>
  <c r="L63" i="12" s="1"/>
  <c r="F64" i="12" s="1"/>
  <c r="K50" i="11"/>
  <c r="L50" i="11" s="1"/>
  <c r="J79" i="4"/>
  <c r="K79" i="4" s="1"/>
  <c r="K54" i="6"/>
  <c r="L54" i="6" s="1"/>
  <c r="J54" i="6"/>
  <c r="G64" i="12" l="1"/>
  <c r="M50" i="11"/>
  <c r="E51" i="11" s="1"/>
  <c r="F51" i="11" s="1"/>
  <c r="M79" i="4"/>
  <c r="F80" i="4" s="1"/>
  <c r="E80" i="4"/>
  <c r="N54" i="6"/>
  <c r="O54" i="6" s="1"/>
  <c r="N64" i="12" l="1"/>
  <c r="J64" i="12"/>
  <c r="K64" i="12" s="1"/>
  <c r="G51" i="11"/>
  <c r="I51" i="11" s="1"/>
  <c r="G80" i="4"/>
  <c r="L80" i="4"/>
  <c r="P80" i="4"/>
  <c r="H80" i="4"/>
  <c r="I80" i="4" s="1"/>
  <c r="J80" i="4" s="1"/>
  <c r="K80" i="4" s="1"/>
  <c r="G55" i="6"/>
  <c r="P54" i="6"/>
  <c r="H55" i="6" s="1"/>
  <c r="R55" i="6" s="1"/>
  <c r="E64" i="12" l="1"/>
  <c r="H64" i="12" s="1"/>
  <c r="I64" i="12" s="1"/>
  <c r="L64" i="12" s="1"/>
  <c r="F65" i="12" s="1"/>
  <c r="H51" i="11"/>
  <c r="J51" i="11" s="1"/>
  <c r="N51" i="11"/>
  <c r="Q80" i="4"/>
  <c r="R80" i="4" s="1"/>
  <c r="E81" i="4"/>
  <c r="M80" i="4"/>
  <c r="F81" i="4" s="1"/>
  <c r="I55" i="6"/>
  <c r="G65" i="12" l="1"/>
  <c r="K51" i="11"/>
  <c r="L51" i="11" s="1"/>
  <c r="H81" i="4"/>
  <c r="G81" i="4"/>
  <c r="L81" i="4"/>
  <c r="P81" i="4"/>
  <c r="K55" i="6"/>
  <c r="L55" i="6" s="1"/>
  <c r="J55" i="6"/>
  <c r="J65" i="12" l="1"/>
  <c r="K65" i="12" s="1"/>
  <c r="N65" i="12"/>
  <c r="M51" i="11"/>
  <c r="E52" i="11" s="1"/>
  <c r="F52" i="11" s="1"/>
  <c r="G52" i="11" s="1"/>
  <c r="I52" i="11" s="1"/>
  <c r="I81" i="4"/>
  <c r="J81" i="4" s="1"/>
  <c r="K81" i="4" s="1"/>
  <c r="Q81" i="4"/>
  <c r="R81" i="4" s="1"/>
  <c r="N55" i="6"/>
  <c r="O55" i="6" s="1"/>
  <c r="E65" i="12" l="1"/>
  <c r="H65" i="12" s="1"/>
  <c r="I65" i="12" s="1"/>
  <c r="L65" i="12" s="1"/>
  <c r="F66" i="12" s="1"/>
  <c r="H52" i="11"/>
  <c r="J52" i="11" s="1"/>
  <c r="N52" i="11"/>
  <c r="M81" i="4"/>
  <c r="F82" i="4" s="1"/>
  <c r="E82" i="4"/>
  <c r="G56" i="6"/>
  <c r="P55" i="6"/>
  <c r="H56" i="6" s="1"/>
  <c r="R56" i="6" s="1"/>
  <c r="G66" i="12" l="1"/>
  <c r="K52" i="11"/>
  <c r="L52" i="11" s="1"/>
  <c r="L82" i="4"/>
  <c r="G82" i="4"/>
  <c r="H82" i="4"/>
  <c r="I82" i="4" s="1"/>
  <c r="P82" i="4"/>
  <c r="I56" i="6"/>
  <c r="N66" i="12" l="1"/>
  <c r="J66" i="12"/>
  <c r="K66" i="12" s="1"/>
  <c r="M52" i="11"/>
  <c r="E53" i="11" s="1"/>
  <c r="F53" i="11" s="1"/>
  <c r="Q82" i="4"/>
  <c r="R82" i="4" s="1"/>
  <c r="J82" i="4"/>
  <c r="K82" i="4" s="1"/>
  <c r="K56" i="6"/>
  <c r="L56" i="6" s="1"/>
  <c r="J56" i="6"/>
  <c r="E66" i="12" l="1"/>
  <c r="H66" i="12" s="1"/>
  <c r="I66" i="12" s="1"/>
  <c r="L66" i="12" s="1"/>
  <c r="F67" i="12" s="1"/>
  <c r="N56" i="6"/>
  <c r="O56" i="6" s="1"/>
  <c r="P56" i="6" s="1"/>
  <c r="H57" i="6" s="1"/>
  <c r="R57" i="6" s="1"/>
  <c r="G53" i="11"/>
  <c r="I53" i="11" s="1"/>
  <c r="M82" i="4"/>
  <c r="F83" i="4" s="1"/>
  <c r="E83" i="4"/>
  <c r="G67" i="12" l="1"/>
  <c r="G57" i="6"/>
  <c r="H53" i="11"/>
  <c r="J53" i="11" s="1"/>
  <c r="N53" i="11"/>
  <c r="P83" i="4"/>
  <c r="H83" i="4"/>
  <c r="I83" i="4" s="1"/>
  <c r="G83" i="4"/>
  <c r="L83" i="4"/>
  <c r="Q83" i="4"/>
  <c r="R83" i="4" s="1"/>
  <c r="I57" i="6"/>
  <c r="J67" i="12" l="1"/>
  <c r="K67" i="12" s="1"/>
  <c r="N67" i="12"/>
  <c r="J83" i="4"/>
  <c r="K83" i="4" s="1"/>
  <c r="M83" i="4" s="1"/>
  <c r="F84" i="4" s="1"/>
  <c r="K53" i="11"/>
  <c r="L53" i="11" s="1"/>
  <c r="L84" i="4"/>
  <c r="P84" i="4"/>
  <c r="H84" i="4"/>
  <c r="I84" i="4" s="1"/>
  <c r="J84" i="4" s="1"/>
  <c r="K84" i="4" s="1"/>
  <c r="M84" i="4" s="1"/>
  <c r="F85" i="4" s="1"/>
  <c r="G84" i="4"/>
  <c r="E84" i="4"/>
  <c r="E85" i="4" s="1"/>
  <c r="J57" i="6"/>
  <c r="K57" i="6"/>
  <c r="L57" i="6" s="1"/>
  <c r="E67" i="12" l="1"/>
  <c r="H67" i="12" s="1"/>
  <c r="I67" i="12" s="1"/>
  <c r="L67" i="12" s="1"/>
  <c r="F68" i="12" s="1"/>
  <c r="M53" i="11"/>
  <c r="E54" i="11" s="1"/>
  <c r="F54" i="11" s="1"/>
  <c r="Q84" i="4"/>
  <c r="R84" i="4" s="1"/>
  <c r="N57" i="6"/>
  <c r="O57" i="6" s="1"/>
  <c r="H85" i="4"/>
  <c r="I85" i="4" s="1"/>
  <c r="P85" i="4"/>
  <c r="L85" i="4"/>
  <c r="G85" i="4"/>
  <c r="G68" i="12" l="1"/>
  <c r="J85" i="4"/>
  <c r="K85" i="4" s="1"/>
  <c r="M85" i="4" s="1"/>
  <c r="F86" i="4" s="1"/>
  <c r="G54" i="11"/>
  <c r="I54" i="11" s="1"/>
  <c r="G86" i="4"/>
  <c r="L86" i="4"/>
  <c r="P86" i="4"/>
  <c r="H86" i="4"/>
  <c r="I86" i="4" s="1"/>
  <c r="J86" i="4" s="1"/>
  <c r="K86" i="4" s="1"/>
  <c r="M86" i="4" s="1"/>
  <c r="F87" i="4" s="1"/>
  <c r="P57" i="6"/>
  <c r="H58" i="6" s="1"/>
  <c r="R58" i="6" s="1"/>
  <c r="G58" i="6"/>
  <c r="Q85" i="4"/>
  <c r="R85" i="4" s="1"/>
  <c r="E86" i="4"/>
  <c r="N68" i="12" l="1"/>
  <c r="J68" i="12"/>
  <c r="K68" i="12" s="1"/>
  <c r="H54" i="11"/>
  <c r="J54" i="11" s="1"/>
  <c r="N54" i="11"/>
  <c r="P87" i="4"/>
  <c r="L87" i="4"/>
  <c r="G87" i="4"/>
  <c r="H87" i="4"/>
  <c r="I87" i="4" s="1"/>
  <c r="E87" i="4"/>
  <c r="Q86" i="4"/>
  <c r="R86" i="4" s="1"/>
  <c r="I58" i="6"/>
  <c r="E68" i="12" l="1"/>
  <c r="H68" i="12" s="1"/>
  <c r="I68" i="12" s="1"/>
  <c r="L68" i="12" s="1"/>
  <c r="F69" i="12" s="1"/>
  <c r="K54" i="11"/>
  <c r="L54" i="11" s="1"/>
  <c r="Q87" i="4"/>
  <c r="R87" i="4" s="1"/>
  <c r="K58" i="6"/>
  <c r="L58" i="6" s="1"/>
  <c r="N58" i="6" s="1"/>
  <c r="O58" i="6" s="1"/>
  <c r="J58" i="6"/>
  <c r="J87" i="4"/>
  <c r="K87" i="4" s="1"/>
  <c r="M87" i="4" s="1"/>
  <c r="F88" i="4" s="1"/>
  <c r="G69" i="12" l="1"/>
  <c r="M54" i="11"/>
  <c r="E55" i="11" s="1"/>
  <c r="F55" i="11" s="1"/>
  <c r="E88" i="4"/>
  <c r="P88" i="4"/>
  <c r="H88" i="4"/>
  <c r="I88" i="4" s="1"/>
  <c r="G88" i="4"/>
  <c r="L88" i="4"/>
  <c r="G59" i="6"/>
  <c r="P58" i="6"/>
  <c r="H59" i="6" s="1"/>
  <c r="R59" i="6" s="1"/>
  <c r="J69" i="12" l="1"/>
  <c r="K69" i="12" s="1"/>
  <c r="N69" i="12"/>
  <c r="G55" i="11"/>
  <c r="I55" i="11" s="1"/>
  <c r="Q88" i="4"/>
  <c r="R88" i="4" s="1"/>
  <c r="I59" i="6"/>
  <c r="J88" i="4"/>
  <c r="K88" i="4" s="1"/>
  <c r="E69" i="12" l="1"/>
  <c r="H69" i="12" s="1"/>
  <c r="I69" i="12" s="1"/>
  <c r="L69" i="12" s="1"/>
  <c r="F70" i="12" s="1"/>
  <c r="H55" i="11"/>
  <c r="J55" i="11" s="1"/>
  <c r="N55" i="11"/>
  <c r="M88" i="4"/>
  <c r="F89" i="4" s="1"/>
  <c r="E89" i="4"/>
  <c r="K59" i="6"/>
  <c r="L59" i="6" s="1"/>
  <c r="J59" i="6"/>
  <c r="G70" i="12" l="1"/>
  <c r="K55" i="11"/>
  <c r="L55" i="11" s="1"/>
  <c r="G89" i="4"/>
  <c r="H89" i="4"/>
  <c r="I89" i="4" s="1"/>
  <c r="P89" i="4"/>
  <c r="L89" i="4"/>
  <c r="Q89" i="4"/>
  <c r="R89" i="4" s="1"/>
  <c r="N59" i="6"/>
  <c r="O59" i="6" s="1"/>
  <c r="N70" i="12" l="1"/>
  <c r="J70" i="12"/>
  <c r="K70" i="12" s="1"/>
  <c r="M55" i="11"/>
  <c r="E56" i="11" s="1"/>
  <c r="F56" i="11" s="1"/>
  <c r="G60" i="6"/>
  <c r="P59" i="6"/>
  <c r="H60" i="6" s="1"/>
  <c r="R60" i="6" s="1"/>
  <c r="J89" i="4"/>
  <c r="K89" i="4" s="1"/>
  <c r="E70" i="12" l="1"/>
  <c r="H70" i="12" s="1"/>
  <c r="I70" i="12" s="1"/>
  <c r="L70" i="12" s="1"/>
  <c r="F71" i="12" s="1"/>
  <c r="G56" i="11"/>
  <c r="I56" i="11" s="1"/>
  <c r="I60" i="6"/>
  <c r="M89" i="4"/>
  <c r="F90" i="4" s="1"/>
  <c r="E90" i="4"/>
  <c r="G71" i="12" l="1"/>
  <c r="H56" i="11"/>
  <c r="J56" i="11" s="1"/>
  <c r="N56" i="11"/>
  <c r="L90" i="4"/>
  <c r="G90" i="4"/>
  <c r="H90" i="4"/>
  <c r="I90" i="4" s="1"/>
  <c r="J90" i="4" s="1"/>
  <c r="K90" i="4" s="1"/>
  <c r="M90" i="4" s="1"/>
  <c r="F91" i="4" s="1"/>
  <c r="P90" i="4"/>
  <c r="K60" i="6"/>
  <c r="L60" i="6" s="1"/>
  <c r="J60" i="6"/>
  <c r="J71" i="12" l="1"/>
  <c r="K71" i="12" s="1"/>
  <c r="N71" i="12"/>
  <c r="K56" i="11"/>
  <c r="L56" i="11" s="1"/>
  <c r="N60" i="6"/>
  <c r="O60" i="6" s="1"/>
  <c r="G61" i="6" s="1"/>
  <c r="G91" i="4"/>
  <c r="L91" i="4"/>
  <c r="H91" i="4"/>
  <c r="I91" i="4" s="1"/>
  <c r="P91" i="4"/>
  <c r="Q90" i="4"/>
  <c r="R90" i="4" s="1"/>
  <c r="E91" i="4"/>
  <c r="E71" i="12" l="1"/>
  <c r="H71" i="12" s="1"/>
  <c r="I71" i="12" s="1"/>
  <c r="L71" i="12" s="1"/>
  <c r="F72" i="12" s="1"/>
  <c r="Q91" i="4"/>
  <c r="R91" i="4" s="1"/>
  <c r="P60" i="6"/>
  <c r="H61" i="6" s="1"/>
  <c r="R61" i="6" s="1"/>
  <c r="M56" i="11"/>
  <c r="E57" i="11" s="1"/>
  <c r="F57" i="11" s="1"/>
  <c r="J91" i="4"/>
  <c r="K91" i="4" s="1"/>
  <c r="M91" i="4" s="1"/>
  <c r="F92" i="4" s="1"/>
  <c r="I61" i="6"/>
  <c r="G72" i="12" l="1"/>
  <c r="G57" i="11"/>
  <c r="I57" i="11" s="1"/>
  <c r="L92" i="4"/>
  <c r="P92" i="4"/>
  <c r="H92" i="4"/>
  <c r="I92" i="4" s="1"/>
  <c r="G92" i="4"/>
  <c r="J61" i="6"/>
  <c r="K61" i="6"/>
  <c r="L61" i="6" s="1"/>
  <c r="E92" i="4"/>
  <c r="N72" i="12" l="1"/>
  <c r="J72" i="12"/>
  <c r="K72" i="12" s="1"/>
  <c r="H57" i="11"/>
  <c r="J57" i="11" s="1"/>
  <c r="N57" i="11"/>
  <c r="N61" i="6"/>
  <c r="O61" i="6" s="1"/>
  <c r="J92" i="4"/>
  <c r="K92" i="4" s="1"/>
  <c r="M92" i="4" s="1"/>
  <c r="F93" i="4" s="1"/>
  <c r="Q92" i="4"/>
  <c r="R92" i="4" s="1"/>
  <c r="E72" i="12" l="1"/>
  <c r="H72" i="12" s="1"/>
  <c r="I72" i="12" s="1"/>
  <c r="L72" i="12" s="1"/>
  <c r="F73" i="12" s="1"/>
  <c r="K57" i="11"/>
  <c r="L57" i="11" s="1"/>
  <c r="M57" i="11" s="1"/>
  <c r="E58" i="11" s="1"/>
  <c r="F58" i="11" s="1"/>
  <c r="E93" i="4"/>
  <c r="G62" i="6"/>
  <c r="P61" i="6"/>
  <c r="H62" i="6" s="1"/>
  <c r="R62" i="6" s="1"/>
  <c r="L93" i="4"/>
  <c r="P93" i="4"/>
  <c r="H93" i="4"/>
  <c r="I93" i="4" s="1"/>
  <c r="G93" i="4"/>
  <c r="G73" i="12" l="1"/>
  <c r="G58" i="11"/>
  <c r="I58" i="11" s="1"/>
  <c r="J93" i="4"/>
  <c r="K93" i="4" s="1"/>
  <c r="Q93" i="4"/>
  <c r="R93" i="4" s="1"/>
  <c r="I62" i="6"/>
  <c r="J73" i="12" l="1"/>
  <c r="K73" i="12" s="1"/>
  <c r="N73" i="12"/>
  <c r="H58" i="11"/>
  <c r="J58" i="11" s="1"/>
  <c r="N58" i="11"/>
  <c r="M93" i="4"/>
  <c r="F94" i="4" s="1"/>
  <c r="E94" i="4"/>
  <c r="K62" i="6"/>
  <c r="L62" i="6" s="1"/>
  <c r="J62" i="6"/>
  <c r="E73" i="12" l="1"/>
  <c r="H73" i="12" s="1"/>
  <c r="I73" i="12" s="1"/>
  <c r="L73" i="12" s="1"/>
  <c r="F74" i="12" s="1"/>
  <c r="K58" i="11"/>
  <c r="L58" i="11" s="1"/>
  <c r="L94" i="4"/>
  <c r="H94" i="4"/>
  <c r="I94" i="4" s="1"/>
  <c r="P94" i="4"/>
  <c r="Q94" i="4"/>
  <c r="R94" i="4" s="1"/>
  <c r="G94" i="4"/>
  <c r="N62" i="6"/>
  <c r="O62" i="6" s="1"/>
  <c r="G74" i="12" l="1"/>
  <c r="M58" i="11"/>
  <c r="E59" i="11" s="1"/>
  <c r="F59" i="11" s="1"/>
  <c r="J94" i="4"/>
  <c r="K94" i="4" s="1"/>
  <c r="P62" i="6"/>
  <c r="H63" i="6" s="1"/>
  <c r="R63" i="6" s="1"/>
  <c r="G63" i="6"/>
  <c r="N74" i="12" l="1"/>
  <c r="J74" i="12"/>
  <c r="K74" i="12" s="1"/>
  <c r="G59" i="11"/>
  <c r="I59" i="11" s="1"/>
  <c r="E95" i="4"/>
  <c r="M94" i="4"/>
  <c r="F95" i="4" s="1"/>
  <c r="I63" i="6"/>
  <c r="E74" i="12" l="1"/>
  <c r="H74" i="12" s="1"/>
  <c r="I74" i="12" s="1"/>
  <c r="L74" i="12" s="1"/>
  <c r="F75" i="12" s="1"/>
  <c r="H59" i="11"/>
  <c r="J59" i="11" s="1"/>
  <c r="N59" i="11"/>
  <c r="L95" i="4"/>
  <c r="G95" i="4"/>
  <c r="P95" i="4"/>
  <c r="H95" i="4"/>
  <c r="K63" i="6"/>
  <c r="L63" i="6" s="1"/>
  <c r="J63" i="6"/>
  <c r="G75" i="12" l="1"/>
  <c r="K59" i="11"/>
  <c r="L59" i="11" s="1"/>
  <c r="I95" i="4"/>
  <c r="J95" i="4" s="1"/>
  <c r="K95" i="4" s="1"/>
  <c r="Q95" i="4"/>
  <c r="R95" i="4" s="1"/>
  <c r="N63" i="6"/>
  <c r="O63" i="6" s="1"/>
  <c r="G64" i="6" s="1"/>
  <c r="J75" i="12" l="1"/>
  <c r="K75" i="12" s="1"/>
  <c r="N75" i="12"/>
  <c r="P63" i="6"/>
  <c r="H64" i="6" s="1"/>
  <c r="R64" i="6" s="1"/>
  <c r="M59" i="11"/>
  <c r="E60" i="11" s="1"/>
  <c r="F60" i="11" s="1"/>
  <c r="M95" i="4"/>
  <c r="F96" i="4" s="1"/>
  <c r="E96" i="4"/>
  <c r="E75" i="12" l="1"/>
  <c r="H75" i="12" s="1"/>
  <c r="I75" i="12" s="1"/>
  <c r="L75" i="12" s="1"/>
  <c r="F76" i="12" s="1"/>
  <c r="I64" i="6"/>
  <c r="G60" i="11"/>
  <c r="I60" i="11" s="1"/>
  <c r="L96" i="4"/>
  <c r="P96" i="4"/>
  <c r="G96" i="4"/>
  <c r="H96" i="4"/>
  <c r="I96" i="4" s="1"/>
  <c r="J96" i="4" s="1"/>
  <c r="K96" i="4" s="1"/>
  <c r="M96" i="4" s="1"/>
  <c r="F97" i="4" s="1"/>
  <c r="K64" i="6"/>
  <c r="L64" i="6" s="1"/>
  <c r="N64" i="6" s="1"/>
  <c r="O64" i="6" s="1"/>
  <c r="J64" i="6"/>
  <c r="G76" i="12" l="1"/>
  <c r="H60" i="11"/>
  <c r="J60" i="11" s="1"/>
  <c r="N60" i="11"/>
  <c r="Q96" i="4"/>
  <c r="R96" i="4" s="1"/>
  <c r="L97" i="4"/>
  <c r="P97" i="4"/>
  <c r="G97" i="4"/>
  <c r="H97" i="4"/>
  <c r="I97" i="4" s="1"/>
  <c r="J97" i="4" s="1"/>
  <c r="K97" i="4" s="1"/>
  <c r="E97" i="4"/>
  <c r="G65" i="6"/>
  <c r="P64" i="6"/>
  <c r="H65" i="6" s="1"/>
  <c r="R65" i="6" s="1"/>
  <c r="N76" i="12" l="1"/>
  <c r="J76" i="12"/>
  <c r="K76" i="12" s="1"/>
  <c r="Q97" i="4"/>
  <c r="E98" i="4"/>
  <c r="K60" i="11"/>
  <c r="L60" i="11" s="1"/>
  <c r="R97" i="4"/>
  <c r="M97" i="4"/>
  <c r="F98" i="4" s="1"/>
  <c r="I65" i="6"/>
  <c r="E76" i="12" l="1"/>
  <c r="H76" i="12" s="1"/>
  <c r="I76" i="12" s="1"/>
  <c r="L76" i="12" s="1"/>
  <c r="F77" i="12" s="1"/>
  <c r="M60" i="11"/>
  <c r="E61" i="11" s="1"/>
  <c r="F61" i="11" s="1"/>
  <c r="H98" i="4"/>
  <c r="I98" i="4" s="1"/>
  <c r="G98" i="4"/>
  <c r="P98" i="4"/>
  <c r="L98" i="4"/>
  <c r="J65" i="6"/>
  <c r="K65" i="6"/>
  <c r="L65" i="6" s="1"/>
  <c r="G77" i="12" l="1"/>
  <c r="J98" i="4"/>
  <c r="K98" i="4" s="1"/>
  <c r="G61" i="11"/>
  <c r="I61" i="11" s="1"/>
  <c r="Q98" i="4"/>
  <c r="R98" i="4" s="1"/>
  <c r="M98" i="4"/>
  <c r="F99" i="4" s="1"/>
  <c r="E99" i="4"/>
  <c r="N65" i="6"/>
  <c r="O65" i="6" s="1"/>
  <c r="J77" i="12" l="1"/>
  <c r="K77" i="12" s="1"/>
  <c r="N77" i="12"/>
  <c r="H61" i="11"/>
  <c r="J61" i="11" s="1"/>
  <c r="N61" i="11"/>
  <c r="H99" i="4"/>
  <c r="I99" i="4" s="1"/>
  <c r="P99" i="4"/>
  <c r="Q99" i="4"/>
  <c r="R99" i="4" s="1"/>
  <c r="L99" i="4"/>
  <c r="G99" i="4"/>
  <c r="P65" i="6"/>
  <c r="H66" i="6" s="1"/>
  <c r="R66" i="6" s="1"/>
  <c r="G66" i="6"/>
  <c r="E77" i="12" l="1"/>
  <c r="H77" i="12" s="1"/>
  <c r="I77" i="12" s="1"/>
  <c r="L77" i="12" s="1"/>
  <c r="F78" i="12" s="1"/>
  <c r="J99" i="4"/>
  <c r="K99" i="4" s="1"/>
  <c r="E100" i="4" s="1"/>
  <c r="K61" i="11"/>
  <c r="L61" i="11" s="1"/>
  <c r="M99" i="4"/>
  <c r="F100" i="4" s="1"/>
  <c r="H100" i="4" s="1"/>
  <c r="I100" i="4" s="1"/>
  <c r="I66" i="6"/>
  <c r="G78" i="12" l="1"/>
  <c r="M61" i="11"/>
  <c r="E62" i="11" s="1"/>
  <c r="F62" i="11" s="1"/>
  <c r="L100" i="4"/>
  <c r="P100" i="4"/>
  <c r="Q100" i="4"/>
  <c r="G100" i="4"/>
  <c r="K66" i="6"/>
  <c r="L66" i="6" s="1"/>
  <c r="N66" i="6" s="1"/>
  <c r="O66" i="6" s="1"/>
  <c r="J66" i="6"/>
  <c r="J100" i="4"/>
  <c r="K100" i="4" s="1"/>
  <c r="N78" i="12" l="1"/>
  <c r="J78" i="12"/>
  <c r="K78" i="12" s="1"/>
  <c r="R100" i="4"/>
  <c r="G62" i="11"/>
  <c r="I62" i="11" s="1"/>
  <c r="M100" i="4"/>
  <c r="F101" i="4" s="1"/>
  <c r="E101" i="4"/>
  <c r="P66" i="6"/>
  <c r="H67" i="6" s="1"/>
  <c r="R67" i="6" s="1"/>
  <c r="G67" i="6"/>
  <c r="E78" i="12" l="1"/>
  <c r="H78" i="12" s="1"/>
  <c r="I78" i="12" s="1"/>
  <c r="L78" i="12" s="1"/>
  <c r="F79" i="12" s="1"/>
  <c r="H62" i="11"/>
  <c r="J62" i="11" s="1"/>
  <c r="N62" i="11"/>
  <c r="I67" i="6"/>
  <c r="P101" i="4"/>
  <c r="H101" i="4"/>
  <c r="I101" i="4" s="1"/>
  <c r="G101" i="4"/>
  <c r="L101" i="4"/>
  <c r="G79" i="12" l="1"/>
  <c r="K62" i="11"/>
  <c r="L62" i="11" s="1"/>
  <c r="Q101" i="4"/>
  <c r="R101" i="4" s="1"/>
  <c r="J67" i="6"/>
  <c r="K67" i="6"/>
  <c r="L67" i="6" s="1"/>
  <c r="J101" i="4"/>
  <c r="K101" i="4" s="1"/>
  <c r="J79" i="12" l="1"/>
  <c r="K79" i="12" s="1"/>
  <c r="N79" i="12"/>
  <c r="M62" i="11"/>
  <c r="E63" i="11" s="1"/>
  <c r="F63" i="11" s="1"/>
  <c r="M101" i="4"/>
  <c r="F102" i="4" s="1"/>
  <c r="E102" i="4"/>
  <c r="N67" i="6"/>
  <c r="O67" i="6" s="1"/>
  <c r="E79" i="12" l="1"/>
  <c r="H79" i="12" s="1"/>
  <c r="I79" i="12" s="1"/>
  <c r="L79" i="12" s="1"/>
  <c r="F80" i="12" s="1"/>
  <c r="G63" i="11"/>
  <c r="I63" i="11" s="1"/>
  <c r="P102" i="4"/>
  <c r="L102" i="4"/>
  <c r="H102" i="4"/>
  <c r="I102" i="4" s="1"/>
  <c r="G102" i="4"/>
  <c r="P67" i="6"/>
  <c r="H68" i="6" s="1"/>
  <c r="R68" i="6" s="1"/>
  <c r="G68" i="6"/>
  <c r="G80" i="12" l="1"/>
  <c r="H63" i="11"/>
  <c r="J63" i="11" s="1"/>
  <c r="N63" i="11"/>
  <c r="Q102" i="4"/>
  <c r="R102" i="4" s="1"/>
  <c r="I68" i="6"/>
  <c r="J102" i="4"/>
  <c r="K102" i="4" s="1"/>
  <c r="N80" i="12" l="1"/>
  <c r="J80" i="12"/>
  <c r="K80" i="12" s="1"/>
  <c r="K63" i="11"/>
  <c r="L63" i="11" s="1"/>
  <c r="M102" i="4"/>
  <c r="F103" i="4" s="1"/>
  <c r="E103" i="4"/>
  <c r="K68" i="6"/>
  <c r="L68" i="6" s="1"/>
  <c r="N68" i="6" s="1"/>
  <c r="O68" i="6" s="1"/>
  <c r="J68" i="6"/>
  <c r="E80" i="12" l="1"/>
  <c r="H80" i="12" s="1"/>
  <c r="I80" i="12" s="1"/>
  <c r="L80" i="12" s="1"/>
  <c r="F81" i="12" s="1"/>
  <c r="M63" i="11"/>
  <c r="E64" i="11" s="1"/>
  <c r="F64" i="11" s="1"/>
  <c r="P103" i="4"/>
  <c r="L103" i="4"/>
  <c r="G103" i="4"/>
  <c r="H103" i="4"/>
  <c r="I103" i="4" s="1"/>
  <c r="P68" i="6"/>
  <c r="H69" i="6" s="1"/>
  <c r="R69" i="6" s="1"/>
  <c r="G69" i="6"/>
  <c r="G81" i="12" l="1"/>
  <c r="G64" i="11"/>
  <c r="I64" i="11" s="1"/>
  <c r="J103" i="4"/>
  <c r="K103" i="4" s="1"/>
  <c r="M103" i="4" s="1"/>
  <c r="F104" i="4" s="1"/>
  <c r="H104" i="4" s="1"/>
  <c r="I104" i="4" s="1"/>
  <c r="I69" i="6"/>
  <c r="Q103" i="4"/>
  <c r="R103" i="4" s="1"/>
  <c r="J81" i="12" l="1"/>
  <c r="K81" i="12" s="1"/>
  <c r="N81" i="12"/>
  <c r="E104" i="4"/>
  <c r="H64" i="11"/>
  <c r="J64" i="11" s="1"/>
  <c r="N64" i="11"/>
  <c r="P104" i="4"/>
  <c r="G104" i="4"/>
  <c r="J104" i="4" s="1"/>
  <c r="K104" i="4" s="1"/>
  <c r="L104" i="4"/>
  <c r="Q104" i="4"/>
  <c r="R104" i="4" s="1"/>
  <c r="J69" i="6"/>
  <c r="K69" i="6"/>
  <c r="L69" i="6" s="1"/>
  <c r="E81" i="12" l="1"/>
  <c r="H81" i="12" s="1"/>
  <c r="I81" i="12" s="1"/>
  <c r="L81" i="12" s="1"/>
  <c r="F82" i="12" s="1"/>
  <c r="K64" i="11"/>
  <c r="L64" i="11" s="1"/>
  <c r="M104" i="4"/>
  <c r="F105" i="4" s="1"/>
  <c r="G105" i="4" s="1"/>
  <c r="E105" i="4"/>
  <c r="N69" i="6"/>
  <c r="O69" i="6" s="1"/>
  <c r="H105" i="4"/>
  <c r="I105" i="4" s="1"/>
  <c r="L105" i="4"/>
  <c r="P105" i="4"/>
  <c r="G82" i="12" l="1"/>
  <c r="Q105" i="4"/>
  <c r="M64" i="11"/>
  <c r="E65" i="11" s="1"/>
  <c r="F65" i="11" s="1"/>
  <c r="G70" i="6"/>
  <c r="P69" i="6"/>
  <c r="H70" i="6" s="1"/>
  <c r="R70" i="6" s="1"/>
  <c r="R105" i="4"/>
  <c r="J105" i="4"/>
  <c r="K105" i="4" s="1"/>
  <c r="N82" i="12" l="1"/>
  <c r="J82" i="12"/>
  <c r="K82" i="12" s="1"/>
  <c r="G65" i="11"/>
  <c r="I65" i="11" s="1"/>
  <c r="I70" i="6"/>
  <c r="M105" i="4"/>
  <c r="F106" i="4" s="1"/>
  <c r="E106" i="4"/>
  <c r="E82" i="12" l="1"/>
  <c r="H82" i="12" s="1"/>
  <c r="I82" i="12" s="1"/>
  <c r="L82" i="12" s="1"/>
  <c r="F83" i="12" s="1"/>
  <c r="H65" i="11"/>
  <c r="J65" i="11" s="1"/>
  <c r="N65" i="11"/>
  <c r="L106" i="4"/>
  <c r="G106" i="4"/>
  <c r="H106" i="4"/>
  <c r="I106" i="4" s="1"/>
  <c r="P106" i="4"/>
  <c r="K70" i="6"/>
  <c r="L70" i="6" s="1"/>
  <c r="J70" i="6"/>
  <c r="G83" i="12" l="1"/>
  <c r="K65" i="11"/>
  <c r="L65" i="11" s="1"/>
  <c r="J106" i="4"/>
  <c r="K106" i="4" s="1"/>
  <c r="N70" i="6"/>
  <c r="O70" i="6" s="1"/>
  <c r="Q106" i="4"/>
  <c r="R106" i="4" s="1"/>
  <c r="J83" i="12" l="1"/>
  <c r="K83" i="12" s="1"/>
  <c r="N83" i="12"/>
  <c r="M65" i="11"/>
  <c r="E66" i="11" s="1"/>
  <c r="F66" i="11" s="1"/>
  <c r="G66" i="11" s="1"/>
  <c r="I66" i="11" s="1"/>
  <c r="P70" i="6"/>
  <c r="H71" i="6" s="1"/>
  <c r="R71" i="6" s="1"/>
  <c r="G71" i="6"/>
  <c r="M106" i="4"/>
  <c r="F107" i="4" s="1"/>
  <c r="E107" i="4"/>
  <c r="E83" i="12" l="1"/>
  <c r="H83" i="12" s="1"/>
  <c r="I83" i="12" s="1"/>
  <c r="L83" i="12" s="1"/>
  <c r="F84" i="12" s="1"/>
  <c r="H66" i="11"/>
  <c r="J66" i="11" s="1"/>
  <c r="N66" i="11"/>
  <c r="P107" i="4"/>
  <c r="G107" i="4"/>
  <c r="L107" i="4"/>
  <c r="H107" i="4"/>
  <c r="I107" i="4" s="1"/>
  <c r="J107" i="4" s="1"/>
  <c r="K107" i="4" s="1"/>
  <c r="M107" i="4" s="1"/>
  <c r="F108" i="4" s="1"/>
  <c r="I71" i="6"/>
  <c r="G84" i="12" l="1"/>
  <c r="K66" i="11"/>
  <c r="L66" i="11" s="1"/>
  <c r="L108" i="4"/>
  <c r="P108" i="4"/>
  <c r="H108" i="4"/>
  <c r="I108" i="4" s="1"/>
  <c r="G108" i="4"/>
  <c r="K71" i="6"/>
  <c r="L71" i="6" s="1"/>
  <c r="J71" i="6"/>
  <c r="E108" i="4"/>
  <c r="Q107" i="4"/>
  <c r="R107" i="4" s="1"/>
  <c r="N84" i="12" l="1"/>
  <c r="J84" i="12"/>
  <c r="K84" i="12" s="1"/>
  <c r="M66" i="11"/>
  <c r="E67" i="11" s="1"/>
  <c r="F67" i="11" s="1"/>
  <c r="N71" i="6"/>
  <c r="O71" i="6" s="1"/>
  <c r="G72" i="6" s="1"/>
  <c r="J108" i="4"/>
  <c r="K108" i="4" s="1"/>
  <c r="M108" i="4" s="1"/>
  <c r="F109" i="4" s="1"/>
  <c r="Q108" i="4"/>
  <c r="R108" i="4" s="1"/>
  <c r="E84" i="12" l="1"/>
  <c r="H84" i="12" s="1"/>
  <c r="I84" i="12" s="1"/>
  <c r="L84" i="12" s="1"/>
  <c r="F85" i="12" s="1"/>
  <c r="G67" i="11"/>
  <c r="I67" i="11" s="1"/>
  <c r="P71" i="6"/>
  <c r="H72" i="6" s="1"/>
  <c r="H109" i="4"/>
  <c r="I109" i="4" s="1"/>
  <c r="Q109" i="4"/>
  <c r="P109" i="4"/>
  <c r="L109" i="4"/>
  <c r="G109" i="4"/>
  <c r="E109" i="4"/>
  <c r="G85" i="12" l="1"/>
  <c r="R109" i="4"/>
  <c r="I72" i="6"/>
  <c r="R72" i="6"/>
  <c r="H67" i="11"/>
  <c r="J67" i="11" s="1"/>
  <c r="N67" i="11"/>
  <c r="J72" i="6"/>
  <c r="K72" i="6"/>
  <c r="L72" i="6" s="1"/>
  <c r="N72" i="6" s="1"/>
  <c r="O72" i="6" s="1"/>
  <c r="J109" i="4"/>
  <c r="K109" i="4" s="1"/>
  <c r="M109" i="4" s="1"/>
  <c r="F110" i="4" s="1"/>
  <c r="J85" i="12" l="1"/>
  <c r="K85" i="12" s="1"/>
  <c r="N85" i="12"/>
  <c r="K67" i="11"/>
  <c r="L67" i="11" s="1"/>
  <c r="E110" i="4"/>
  <c r="P72" i="6"/>
  <c r="H73" i="6" s="1"/>
  <c r="R73" i="6" s="1"/>
  <c r="G73" i="6"/>
  <c r="H110" i="4"/>
  <c r="I110" i="4" s="1"/>
  <c r="P110" i="4"/>
  <c r="L110" i="4"/>
  <c r="G110" i="4"/>
  <c r="E85" i="12" l="1"/>
  <c r="H85" i="12" s="1"/>
  <c r="I85" i="12" s="1"/>
  <c r="L85" i="12" s="1"/>
  <c r="F86" i="12" s="1"/>
  <c r="M67" i="11"/>
  <c r="E68" i="11" s="1"/>
  <c r="F68" i="11" s="1"/>
  <c r="I73" i="6"/>
  <c r="Q110" i="4"/>
  <c r="R110" i="4" s="1"/>
  <c r="J110" i="4"/>
  <c r="K110" i="4" s="1"/>
  <c r="M110" i="4" s="1"/>
  <c r="F111" i="4" s="1"/>
  <c r="G86" i="12" l="1"/>
  <c r="G68" i="11"/>
  <c r="I68" i="11" s="1"/>
  <c r="H111" i="4"/>
  <c r="I111" i="4" s="1"/>
  <c r="P111" i="4"/>
  <c r="G111" i="4"/>
  <c r="Q111" i="4"/>
  <c r="L111" i="4"/>
  <c r="J73" i="6"/>
  <c r="K73" i="6"/>
  <c r="L73" i="6" s="1"/>
  <c r="N73" i="6" s="1"/>
  <c r="O73" i="6" s="1"/>
  <c r="E111" i="4"/>
  <c r="N86" i="12" l="1"/>
  <c r="J86" i="12"/>
  <c r="K86" i="12" s="1"/>
  <c r="H68" i="11"/>
  <c r="J68" i="11" s="1"/>
  <c r="N68" i="11"/>
  <c r="J111" i="4"/>
  <c r="K111" i="4" s="1"/>
  <c r="M111" i="4" s="1"/>
  <c r="F112" i="4" s="1"/>
  <c r="G74" i="6"/>
  <c r="P73" i="6"/>
  <c r="H74" i="6" s="1"/>
  <c r="R74" i="6" s="1"/>
  <c r="R111" i="4"/>
  <c r="E86" i="12" l="1"/>
  <c r="H86" i="12" s="1"/>
  <c r="I86" i="12" s="1"/>
  <c r="L86" i="12" s="1"/>
  <c r="F87" i="12" s="1"/>
  <c r="K68" i="11"/>
  <c r="L68" i="11" s="1"/>
  <c r="I74" i="6"/>
  <c r="E112" i="4"/>
  <c r="P112" i="4"/>
  <c r="H112" i="4"/>
  <c r="I112" i="4" s="1"/>
  <c r="G112" i="4"/>
  <c r="L112" i="4"/>
  <c r="G87" i="12" l="1"/>
  <c r="M68" i="11"/>
  <c r="E69" i="11" s="1"/>
  <c r="F69" i="11" s="1"/>
  <c r="J112" i="4"/>
  <c r="K112" i="4" s="1"/>
  <c r="M112" i="4" s="1"/>
  <c r="F113" i="4" s="1"/>
  <c r="K74" i="6"/>
  <c r="L74" i="6" s="1"/>
  <c r="J74" i="6"/>
  <c r="Q112" i="4"/>
  <c r="R112" i="4" s="1"/>
  <c r="J87" i="12" l="1"/>
  <c r="K87" i="12" s="1"/>
  <c r="N87" i="12"/>
  <c r="G69" i="11"/>
  <c r="I69" i="11" s="1"/>
  <c r="E113" i="4"/>
  <c r="N74" i="6"/>
  <c r="O74" i="6" s="1"/>
  <c r="G113" i="4"/>
  <c r="L113" i="4"/>
  <c r="P113" i="4"/>
  <c r="H113" i="4"/>
  <c r="I113" i="4" s="1"/>
  <c r="E87" i="12" l="1"/>
  <c r="H87" i="12" s="1"/>
  <c r="I87" i="12" s="1"/>
  <c r="L87" i="12" s="1"/>
  <c r="F88" i="12" s="1"/>
  <c r="Q113" i="4"/>
  <c r="H69" i="11"/>
  <c r="J69" i="11" s="1"/>
  <c r="N69" i="11"/>
  <c r="R113" i="4"/>
  <c r="J113" i="4"/>
  <c r="K113" i="4" s="1"/>
  <c r="M113" i="4" s="1"/>
  <c r="F114" i="4" s="1"/>
  <c r="P74" i="6"/>
  <c r="H75" i="6" s="1"/>
  <c r="R75" i="6" s="1"/>
  <c r="G75" i="6"/>
  <c r="G88" i="12" l="1"/>
  <c r="K69" i="11"/>
  <c r="L69" i="11" s="1"/>
  <c r="L114" i="4"/>
  <c r="G114" i="4"/>
  <c r="H114" i="4"/>
  <c r="I114" i="4" s="1"/>
  <c r="P114" i="4"/>
  <c r="I75" i="6"/>
  <c r="E114" i="4"/>
  <c r="N88" i="12" l="1"/>
  <c r="J88" i="12"/>
  <c r="K88" i="12" s="1"/>
  <c r="M69" i="11"/>
  <c r="E70" i="11" s="1"/>
  <c r="F70" i="11" s="1"/>
  <c r="J114" i="4"/>
  <c r="K114" i="4" s="1"/>
  <c r="M114" i="4" s="1"/>
  <c r="F115" i="4" s="1"/>
  <c r="K75" i="6"/>
  <c r="L75" i="6" s="1"/>
  <c r="J75" i="6"/>
  <c r="Q114" i="4"/>
  <c r="R114" i="4" s="1"/>
  <c r="E88" i="12" l="1"/>
  <c r="H88" i="12" s="1"/>
  <c r="I88" i="12" s="1"/>
  <c r="L88" i="12" s="1"/>
  <c r="F89" i="12" s="1"/>
  <c r="G70" i="11"/>
  <c r="I70" i="11" s="1"/>
  <c r="N75" i="6"/>
  <c r="O75" i="6" s="1"/>
  <c r="G76" i="6" s="1"/>
  <c r="H115" i="4"/>
  <c r="I115" i="4" s="1"/>
  <c r="P115" i="4"/>
  <c r="L115" i="4"/>
  <c r="G115" i="4"/>
  <c r="E115" i="4"/>
  <c r="G89" i="12" l="1"/>
  <c r="P75" i="6"/>
  <c r="H76" i="6" s="1"/>
  <c r="R76" i="6" s="1"/>
  <c r="H70" i="11"/>
  <c r="J70" i="11" s="1"/>
  <c r="N70" i="11"/>
  <c r="J115" i="4"/>
  <c r="K115" i="4" s="1"/>
  <c r="M115" i="4" s="1"/>
  <c r="F116" i="4" s="1"/>
  <c r="I76" i="6"/>
  <c r="Q115" i="4"/>
  <c r="R115" i="4" s="1"/>
  <c r="J89" i="12" l="1"/>
  <c r="K89" i="12" s="1"/>
  <c r="N89" i="12"/>
  <c r="K70" i="11"/>
  <c r="L70" i="11" s="1"/>
  <c r="E116" i="4"/>
  <c r="K76" i="6"/>
  <c r="L76" i="6" s="1"/>
  <c r="J76" i="6"/>
  <c r="L116" i="4"/>
  <c r="H116" i="4"/>
  <c r="I116" i="4" s="1"/>
  <c r="G116" i="4"/>
  <c r="P116" i="4"/>
  <c r="E89" i="12" l="1"/>
  <c r="H89" i="12" s="1"/>
  <c r="I89" i="12" s="1"/>
  <c r="L89" i="12" s="1"/>
  <c r="F90" i="12" s="1"/>
  <c r="M70" i="11"/>
  <c r="E71" i="11" s="1"/>
  <c r="F71" i="11" s="1"/>
  <c r="J116" i="4"/>
  <c r="K116" i="4" s="1"/>
  <c r="M116" i="4" s="1"/>
  <c r="F117" i="4" s="1"/>
  <c r="L117" i="4" s="1"/>
  <c r="N76" i="6"/>
  <c r="O76" i="6" s="1"/>
  <c r="G77" i="6" s="1"/>
  <c r="Q116" i="4"/>
  <c r="R116" i="4" s="1"/>
  <c r="G90" i="12" l="1"/>
  <c r="G71" i="11"/>
  <c r="I71" i="11" s="1"/>
  <c r="P117" i="4"/>
  <c r="G117" i="4"/>
  <c r="H117" i="4"/>
  <c r="I117" i="4" s="1"/>
  <c r="J117" i="4" s="1"/>
  <c r="K117" i="4" s="1"/>
  <c r="M117" i="4" s="1"/>
  <c r="F118" i="4" s="1"/>
  <c r="L118" i="4" s="1"/>
  <c r="P76" i="6"/>
  <c r="H77" i="6" s="1"/>
  <c r="R77" i="6" s="1"/>
  <c r="E117" i="4"/>
  <c r="E118" i="4" s="1"/>
  <c r="N90" i="12" l="1"/>
  <c r="J90" i="12"/>
  <c r="K90" i="12" s="1"/>
  <c r="H118" i="4"/>
  <c r="I118" i="4" s="1"/>
  <c r="G118" i="4"/>
  <c r="I77" i="6"/>
  <c r="H71" i="11"/>
  <c r="J71" i="11" s="1"/>
  <c r="N71" i="11"/>
  <c r="Q118" i="4"/>
  <c r="P118" i="4"/>
  <c r="J118" i="4"/>
  <c r="K118" i="4" s="1"/>
  <c r="M118" i="4" s="1"/>
  <c r="F119" i="4" s="1"/>
  <c r="L119" i="4" s="1"/>
  <c r="Q117" i="4"/>
  <c r="R117" i="4" s="1"/>
  <c r="K77" i="6"/>
  <c r="L77" i="6" s="1"/>
  <c r="J77" i="6"/>
  <c r="E90" i="12" l="1"/>
  <c r="H90" i="12" s="1"/>
  <c r="I90" i="12" s="1"/>
  <c r="L90" i="12" s="1"/>
  <c r="F91" i="12" s="1"/>
  <c r="E119" i="4"/>
  <c r="H119" i="4"/>
  <c r="I119" i="4" s="1"/>
  <c r="J119" i="4" s="1"/>
  <c r="K119" i="4" s="1"/>
  <c r="M119" i="4" s="1"/>
  <c r="F120" i="4" s="1"/>
  <c r="G119" i="4"/>
  <c r="K71" i="11"/>
  <c r="L71" i="11" s="1"/>
  <c r="P119" i="4"/>
  <c r="R118" i="4"/>
  <c r="N77" i="6"/>
  <c r="O77" i="6" s="1"/>
  <c r="Q119" i="4"/>
  <c r="G91" i="12" l="1"/>
  <c r="P120" i="4"/>
  <c r="H120" i="4"/>
  <c r="I120" i="4" s="1"/>
  <c r="G120" i="4"/>
  <c r="L120" i="4"/>
  <c r="E120" i="4"/>
  <c r="M71" i="11"/>
  <c r="E72" i="11" s="1"/>
  <c r="F72" i="11" s="1"/>
  <c r="R119" i="4"/>
  <c r="J120" i="4"/>
  <c r="K120" i="4" s="1"/>
  <c r="M120" i="4" s="1"/>
  <c r="F121" i="4" s="1"/>
  <c r="G121" i="4" s="1"/>
  <c r="G78" i="6"/>
  <c r="P77" i="6"/>
  <c r="H78" i="6" s="1"/>
  <c r="R78" i="6" s="1"/>
  <c r="Q120" i="4"/>
  <c r="R120" i="4" s="1"/>
  <c r="J91" i="12" l="1"/>
  <c r="K91" i="12" s="1"/>
  <c r="N91" i="12"/>
  <c r="E121" i="4"/>
  <c r="L121" i="4"/>
  <c r="H121" i="4"/>
  <c r="I121" i="4" s="1"/>
  <c r="P121" i="4"/>
  <c r="G72" i="11"/>
  <c r="I72" i="11" s="1"/>
  <c r="I78" i="6"/>
  <c r="J121" i="4"/>
  <c r="K121" i="4" s="1"/>
  <c r="Q121" i="4"/>
  <c r="R121" i="4" s="1"/>
  <c r="E91" i="12" l="1"/>
  <c r="H91" i="12" s="1"/>
  <c r="I91" i="12" s="1"/>
  <c r="L91" i="12" s="1"/>
  <c r="F92" i="12" s="1"/>
  <c r="M121" i="4"/>
  <c r="F122" i="4" s="1"/>
  <c r="H72" i="11"/>
  <c r="J72" i="11" s="1"/>
  <c r="N72" i="11"/>
  <c r="E122" i="4"/>
  <c r="K78" i="6"/>
  <c r="L78" i="6" s="1"/>
  <c r="J78" i="6"/>
  <c r="L122" i="4"/>
  <c r="H122" i="4"/>
  <c r="I122" i="4" s="1"/>
  <c r="J122" i="4" s="1"/>
  <c r="K122" i="4" s="1"/>
  <c r="M122" i="4" s="1"/>
  <c r="F123" i="4" s="1"/>
  <c r="P122" i="4"/>
  <c r="G122" i="4"/>
  <c r="G92" i="12" l="1"/>
  <c r="K72" i="11"/>
  <c r="L72" i="11" s="1"/>
  <c r="G123" i="4"/>
  <c r="H123" i="4"/>
  <c r="I123" i="4" s="1"/>
  <c r="P123" i="4"/>
  <c r="L123" i="4"/>
  <c r="N78" i="6"/>
  <c r="O78" i="6" s="1"/>
  <c r="Q122" i="4"/>
  <c r="R122" i="4" s="1"/>
  <c r="E123" i="4"/>
  <c r="N92" i="12" l="1"/>
  <c r="J92" i="12"/>
  <c r="K92" i="12" s="1"/>
  <c r="M72" i="11"/>
  <c r="E73" i="11" s="1"/>
  <c r="F73" i="11" s="1"/>
  <c r="Q123" i="4"/>
  <c r="R123" i="4" s="1"/>
  <c r="J123" i="4"/>
  <c r="K123" i="4" s="1"/>
  <c r="M123" i="4" s="1"/>
  <c r="F124" i="4" s="1"/>
  <c r="P78" i="6"/>
  <c r="H79" i="6" s="1"/>
  <c r="R79" i="6" s="1"/>
  <c r="G79" i="6"/>
  <c r="E92" i="12" l="1"/>
  <c r="H92" i="12" s="1"/>
  <c r="I92" i="12" s="1"/>
  <c r="L92" i="12" s="1"/>
  <c r="F93" i="12" s="1"/>
  <c r="G73" i="11"/>
  <c r="I73" i="11" s="1"/>
  <c r="L124" i="4"/>
  <c r="P124" i="4"/>
  <c r="H124" i="4"/>
  <c r="I124" i="4" s="1"/>
  <c r="J124" i="4" s="1"/>
  <c r="K124" i="4" s="1"/>
  <c r="G124" i="4"/>
  <c r="I79" i="6"/>
  <c r="E124" i="4"/>
  <c r="G93" i="12" l="1"/>
  <c r="M124" i="4"/>
  <c r="F125" i="4" s="1"/>
  <c r="H73" i="11"/>
  <c r="J73" i="11" s="1"/>
  <c r="N73" i="11"/>
  <c r="H125" i="4"/>
  <c r="I125" i="4" s="1"/>
  <c r="G125" i="4"/>
  <c r="L125" i="4"/>
  <c r="P125" i="4"/>
  <c r="E125" i="4"/>
  <c r="J79" i="6"/>
  <c r="K79" i="6"/>
  <c r="L79" i="6" s="1"/>
  <c r="Q124" i="4"/>
  <c r="R124" i="4" s="1"/>
  <c r="J93" i="12" l="1"/>
  <c r="K93" i="12" s="1"/>
  <c r="N93" i="12"/>
  <c r="K73" i="11"/>
  <c r="L73" i="11" s="1"/>
  <c r="M73" i="11" s="1"/>
  <c r="E74" i="11" s="1"/>
  <c r="F74" i="11" s="1"/>
  <c r="N79" i="6"/>
  <c r="O79" i="6" s="1"/>
  <c r="G80" i="6"/>
  <c r="P79" i="6"/>
  <c r="H80" i="6" s="1"/>
  <c r="R80" i="6" s="1"/>
  <c r="J125" i="4"/>
  <c r="K125" i="4" s="1"/>
  <c r="M125" i="4" s="1"/>
  <c r="F126" i="4" s="1"/>
  <c r="Q125" i="4"/>
  <c r="R125" i="4" s="1"/>
  <c r="E93" i="12" l="1"/>
  <c r="H93" i="12" s="1"/>
  <c r="I93" i="12" s="1"/>
  <c r="L93" i="12" s="1"/>
  <c r="F94" i="12" s="1"/>
  <c r="G74" i="11"/>
  <c r="I74" i="11" s="1"/>
  <c r="E126" i="4"/>
  <c r="G126" i="4"/>
  <c r="L126" i="4"/>
  <c r="P126" i="4"/>
  <c r="H126" i="4"/>
  <c r="I126" i="4" s="1"/>
  <c r="J126" i="4" s="1"/>
  <c r="K126" i="4" s="1"/>
  <c r="M126" i="4" s="1"/>
  <c r="F127" i="4" s="1"/>
  <c r="I80" i="6"/>
  <c r="G94" i="12" l="1"/>
  <c r="H74" i="11"/>
  <c r="J74" i="11" s="1"/>
  <c r="N74" i="11"/>
  <c r="G127" i="4"/>
  <c r="L127" i="4"/>
  <c r="P127" i="4"/>
  <c r="H127" i="4"/>
  <c r="I127" i="4" s="1"/>
  <c r="Q126" i="4"/>
  <c r="R126" i="4" s="1"/>
  <c r="K80" i="6"/>
  <c r="L80" i="6" s="1"/>
  <c r="J80" i="6"/>
  <c r="E127" i="4"/>
  <c r="N94" i="12" l="1"/>
  <c r="J94" i="12"/>
  <c r="K94" i="12" s="1"/>
  <c r="N80" i="6"/>
  <c r="O80" i="6" s="1"/>
  <c r="G81" i="6" s="1"/>
  <c r="K74" i="11"/>
  <c r="L74" i="11" s="1"/>
  <c r="Q127" i="4"/>
  <c r="R127" i="4" s="1"/>
  <c r="J127" i="4"/>
  <c r="K127" i="4" s="1"/>
  <c r="M127" i="4" s="1"/>
  <c r="F128" i="4" s="1"/>
  <c r="E94" i="12" l="1"/>
  <c r="H94" i="12" s="1"/>
  <c r="I94" i="12" s="1"/>
  <c r="L94" i="12" s="1"/>
  <c r="F95" i="12" s="1"/>
  <c r="P80" i="6"/>
  <c r="H81" i="6" s="1"/>
  <c r="R81" i="6" s="1"/>
  <c r="M74" i="11"/>
  <c r="E75" i="11" s="1"/>
  <c r="F75" i="11" s="1"/>
  <c r="G75" i="11" s="1"/>
  <c r="I75" i="11" s="1"/>
  <c r="L128" i="4"/>
  <c r="P128" i="4"/>
  <c r="G128" i="4"/>
  <c r="H128" i="4"/>
  <c r="I128" i="4" s="1"/>
  <c r="J128" i="4" s="1"/>
  <c r="K128" i="4" s="1"/>
  <c r="E128" i="4"/>
  <c r="I81" i="6"/>
  <c r="G95" i="12" l="1"/>
  <c r="H75" i="11"/>
  <c r="J75" i="11" s="1"/>
  <c r="N75" i="11"/>
  <c r="M128" i="4"/>
  <c r="F129" i="4" s="1"/>
  <c r="E129" i="4"/>
  <c r="Q128" i="4"/>
  <c r="R128" i="4" s="1"/>
  <c r="L129" i="4"/>
  <c r="H129" i="4"/>
  <c r="I129" i="4" s="1"/>
  <c r="P129" i="4"/>
  <c r="G129" i="4"/>
  <c r="K81" i="6"/>
  <c r="L81" i="6" s="1"/>
  <c r="J81" i="6"/>
  <c r="J95" i="12" l="1"/>
  <c r="K95" i="12" s="1"/>
  <c r="N95" i="12"/>
  <c r="K75" i="11"/>
  <c r="L75" i="11" s="1"/>
  <c r="Q129" i="4"/>
  <c r="R129" i="4" s="1"/>
  <c r="N81" i="6"/>
  <c r="O81" i="6" s="1"/>
  <c r="J129" i="4"/>
  <c r="K129" i="4" s="1"/>
  <c r="E95" i="12" l="1"/>
  <c r="H95" i="12" s="1"/>
  <c r="I95" i="12" s="1"/>
  <c r="L95" i="12" s="1"/>
  <c r="F96" i="12" s="1"/>
  <c r="M75" i="11"/>
  <c r="E76" i="11" s="1"/>
  <c r="F76" i="11" s="1"/>
  <c r="G76" i="11" s="1"/>
  <c r="I76" i="11" s="1"/>
  <c r="P81" i="6"/>
  <c r="H82" i="6" s="1"/>
  <c r="R82" i="6" s="1"/>
  <c r="G82" i="6"/>
  <c r="M129" i="4"/>
  <c r="F130" i="4" s="1"/>
  <c r="E130" i="4"/>
  <c r="G96" i="12" l="1"/>
  <c r="N76" i="11"/>
  <c r="H76" i="11"/>
  <c r="J76" i="11" s="1"/>
  <c r="H130" i="4"/>
  <c r="I130" i="4" s="1"/>
  <c r="P130" i="4"/>
  <c r="G130" i="4"/>
  <c r="L130" i="4"/>
  <c r="I82" i="6"/>
  <c r="N96" i="12" l="1"/>
  <c r="J96" i="12"/>
  <c r="K96" i="12" s="1"/>
  <c r="K76" i="11"/>
  <c r="L76" i="11" s="1"/>
  <c r="K82" i="6"/>
  <c r="L82" i="6" s="1"/>
  <c r="J82" i="6"/>
  <c r="J130" i="4"/>
  <c r="K130" i="4" s="1"/>
  <c r="M130" i="4" s="1"/>
  <c r="Q130" i="4"/>
  <c r="R130" i="4" s="1"/>
  <c r="E96" i="12" l="1"/>
  <c r="H96" i="12" s="1"/>
  <c r="I96" i="12" s="1"/>
  <c r="L96" i="12" s="1"/>
  <c r="F97" i="12" s="1"/>
  <c r="M76" i="11"/>
  <c r="E77" i="11" s="1"/>
  <c r="F77" i="11" s="1"/>
  <c r="G77" i="11" s="1"/>
  <c r="I77" i="11" s="1"/>
  <c r="N82" i="6"/>
  <c r="O82" i="6" s="1"/>
  <c r="G97" i="12" l="1"/>
  <c r="H77" i="11"/>
  <c r="J77" i="11" s="1"/>
  <c r="N77" i="11"/>
  <c r="G83" i="6"/>
  <c r="P82" i="6"/>
  <c r="H83" i="6" s="1"/>
  <c r="R83" i="6" s="1"/>
  <c r="J97" i="12" l="1"/>
  <c r="K97" i="12" s="1"/>
  <c r="N97" i="12"/>
  <c r="K77" i="11"/>
  <c r="L77" i="11" s="1"/>
  <c r="I83" i="6"/>
  <c r="E97" i="12" l="1"/>
  <c r="H97" i="12" s="1"/>
  <c r="I97" i="12" s="1"/>
  <c r="L97" i="12" s="1"/>
  <c r="F98" i="12" s="1"/>
  <c r="M77" i="11"/>
  <c r="E78" i="11" s="1"/>
  <c r="F78" i="11" s="1"/>
  <c r="J83" i="6"/>
  <c r="K83" i="6"/>
  <c r="L83" i="6" s="1"/>
  <c r="N83" i="6" s="1"/>
  <c r="O83" i="6" s="1"/>
  <c r="G98" i="12" l="1"/>
  <c r="G78" i="11"/>
  <c r="I78" i="11" s="1"/>
  <c r="G84" i="6"/>
  <c r="P83" i="6"/>
  <c r="H84" i="6" s="1"/>
  <c r="R84" i="6" s="1"/>
  <c r="N98" i="12" l="1"/>
  <c r="J98" i="12"/>
  <c r="K98" i="12" s="1"/>
  <c r="N78" i="11"/>
  <c r="H78" i="11"/>
  <c r="J78" i="11" s="1"/>
  <c r="I84" i="6"/>
  <c r="E98" i="12" l="1"/>
  <c r="H98" i="12" s="1"/>
  <c r="I98" i="12" s="1"/>
  <c r="L98" i="12" s="1"/>
  <c r="F99" i="12" s="1"/>
  <c r="K78" i="11"/>
  <c r="L78" i="11" s="1"/>
  <c r="J84" i="6"/>
  <c r="K84" i="6"/>
  <c r="L84" i="6" s="1"/>
  <c r="G99" i="12" l="1"/>
  <c r="M78" i="11"/>
  <c r="E79" i="11" s="1"/>
  <c r="F79" i="11" s="1"/>
  <c r="N84" i="6"/>
  <c r="O84" i="6" s="1"/>
  <c r="J99" i="12" l="1"/>
  <c r="K99" i="12" s="1"/>
  <c r="N99" i="12"/>
  <c r="G79" i="11"/>
  <c r="I79" i="11" s="1"/>
  <c r="G85" i="6"/>
  <c r="P84" i="6"/>
  <c r="H85" i="6" s="1"/>
  <c r="R85" i="6" s="1"/>
  <c r="E99" i="12" l="1"/>
  <c r="H99" i="12" s="1"/>
  <c r="I99" i="12" s="1"/>
  <c r="L99" i="12" s="1"/>
  <c r="F100" i="12" s="1"/>
  <c r="H79" i="11"/>
  <c r="J79" i="11" s="1"/>
  <c r="N79" i="11"/>
  <c r="I85" i="6"/>
  <c r="G100" i="12" l="1"/>
  <c r="K79" i="11"/>
  <c r="L79" i="11" s="1"/>
  <c r="J85" i="6"/>
  <c r="K85" i="6"/>
  <c r="L85" i="6" s="1"/>
  <c r="N100" i="12" l="1"/>
  <c r="J100" i="12"/>
  <c r="K100" i="12" s="1"/>
  <c r="M79" i="11"/>
  <c r="E80" i="11" s="1"/>
  <c r="F80" i="11" s="1"/>
  <c r="G80" i="11" s="1"/>
  <c r="I80" i="11" s="1"/>
  <c r="N85" i="6"/>
  <c r="O85" i="6" s="1"/>
  <c r="E100" i="12" l="1"/>
  <c r="H100" i="12" s="1"/>
  <c r="I100" i="12" s="1"/>
  <c r="L100" i="12" s="1"/>
  <c r="N80" i="11"/>
  <c r="H80" i="11"/>
  <c r="J80" i="11" s="1"/>
  <c r="P85" i="6"/>
  <c r="H86" i="6" s="1"/>
  <c r="R86" i="6" s="1"/>
  <c r="G86" i="6"/>
  <c r="K80" i="11" l="1"/>
  <c r="L80" i="11" s="1"/>
  <c r="I86" i="6"/>
  <c r="M80" i="11" l="1"/>
  <c r="E81" i="11" s="1"/>
  <c r="F81" i="11" s="1"/>
  <c r="K86" i="6"/>
  <c r="L86" i="6" s="1"/>
  <c r="J86" i="6"/>
  <c r="G81" i="11" l="1"/>
  <c r="I81" i="11" s="1"/>
  <c r="N86" i="6"/>
  <c r="O86" i="6" s="1"/>
  <c r="G87" i="6" s="1"/>
  <c r="H81" i="11" l="1"/>
  <c r="J81" i="11" s="1"/>
  <c r="N81" i="11"/>
  <c r="P86" i="6"/>
  <c r="H87" i="6" s="1"/>
  <c r="R87" i="6" s="1"/>
  <c r="I87" i="6" l="1"/>
  <c r="K81" i="11"/>
  <c r="L81" i="11" s="1"/>
  <c r="K87" i="6"/>
  <c r="L87" i="6" s="1"/>
  <c r="J87" i="6"/>
  <c r="M81" i="11" l="1"/>
  <c r="E82" i="11" s="1"/>
  <c r="F82" i="11" s="1"/>
  <c r="N87" i="6"/>
  <c r="O87" i="6" s="1"/>
  <c r="G82" i="11" l="1"/>
  <c r="I82" i="11" s="1"/>
  <c r="P87" i="6"/>
  <c r="H88" i="6" s="1"/>
  <c r="R88" i="6" s="1"/>
  <c r="G88" i="6"/>
  <c r="N82" i="11" l="1"/>
  <c r="H82" i="11"/>
  <c r="J82" i="11" s="1"/>
  <c r="I88" i="6"/>
  <c r="K82" i="11" l="1"/>
  <c r="L82" i="11" s="1"/>
  <c r="K88" i="6"/>
  <c r="L88" i="6" s="1"/>
  <c r="J88" i="6"/>
  <c r="M82" i="11" l="1"/>
  <c r="E83" i="11" s="1"/>
  <c r="F83" i="11" s="1"/>
  <c r="N88" i="6"/>
  <c r="O88" i="6" s="1"/>
  <c r="G89" i="6" s="1"/>
  <c r="G83" i="11" l="1"/>
  <c r="I83" i="11" s="1"/>
  <c r="P88" i="6"/>
  <c r="H89" i="6" s="1"/>
  <c r="R89" i="6" s="1"/>
  <c r="I89" i="6" l="1"/>
  <c r="H83" i="11"/>
  <c r="J83" i="11" s="1"/>
  <c r="N83" i="11"/>
  <c r="J89" i="6"/>
  <c r="K89" i="6"/>
  <c r="L89" i="6" s="1"/>
  <c r="N89" i="6" s="1"/>
  <c r="O89" i="6" s="1"/>
  <c r="K83" i="11" l="1"/>
  <c r="L83" i="11" s="1"/>
  <c r="G90" i="6"/>
  <c r="P89" i="6"/>
  <c r="H90" i="6" s="1"/>
  <c r="R90" i="6" s="1"/>
  <c r="M83" i="11" l="1"/>
  <c r="E84" i="11" s="1"/>
  <c r="F84" i="11" s="1"/>
  <c r="I90" i="6"/>
  <c r="G84" i="11" l="1"/>
  <c r="I84" i="11" s="1"/>
  <c r="K90" i="6"/>
  <c r="L90" i="6" s="1"/>
  <c r="J90" i="6"/>
  <c r="N90" i="6" l="1"/>
  <c r="O90" i="6" s="1"/>
  <c r="N84" i="11"/>
  <c r="H84" i="11"/>
  <c r="J84" i="11" s="1"/>
  <c r="G91" i="6"/>
  <c r="P90" i="6"/>
  <c r="H91" i="6" s="1"/>
  <c r="R91" i="6" s="1"/>
  <c r="K84" i="11" l="1"/>
  <c r="L84" i="11" s="1"/>
  <c r="I91" i="6"/>
  <c r="M84" i="11" l="1"/>
  <c r="E85" i="11" s="1"/>
  <c r="F85" i="11" s="1"/>
  <c r="K91" i="6"/>
  <c r="L91" i="6" s="1"/>
  <c r="J91" i="6"/>
  <c r="G85" i="11" l="1"/>
  <c r="I85" i="11" s="1"/>
  <c r="N91" i="6"/>
  <c r="O91" i="6" s="1"/>
  <c r="P91" i="6" s="1"/>
  <c r="H92" i="6" s="1"/>
  <c r="R92" i="6" s="1"/>
  <c r="G92" i="6" l="1"/>
  <c r="H85" i="11"/>
  <c r="J85" i="11" s="1"/>
  <c r="N85" i="11"/>
  <c r="I92" i="6"/>
  <c r="K85" i="11" l="1"/>
  <c r="L85" i="11" s="1"/>
  <c r="J92" i="6"/>
  <c r="K92" i="6"/>
  <c r="L92" i="6" s="1"/>
  <c r="M85" i="11" l="1"/>
  <c r="E86" i="11" s="1"/>
  <c r="F86" i="11" s="1"/>
  <c r="N92" i="6"/>
  <c r="O92" i="6" s="1"/>
  <c r="G93" i="6" s="1"/>
  <c r="P92" i="6" l="1"/>
  <c r="H93" i="6" s="1"/>
  <c r="R93" i="6" s="1"/>
  <c r="G86" i="11"/>
  <c r="I86" i="11" s="1"/>
  <c r="I93" i="6" l="1"/>
  <c r="K93" i="6" s="1"/>
  <c r="L93" i="6" s="1"/>
  <c r="N86" i="11"/>
  <c r="H86" i="11"/>
  <c r="J86" i="11" s="1"/>
  <c r="J93" i="6" l="1"/>
  <c r="N93" i="6" s="1"/>
  <c r="O93" i="6" s="1"/>
  <c r="K86" i="11"/>
  <c r="L86" i="11" s="1"/>
  <c r="M86" i="11" l="1"/>
  <c r="E87" i="11" s="1"/>
  <c r="F87" i="11" s="1"/>
  <c r="G87" i="11" s="1"/>
  <c r="I87" i="11" s="1"/>
  <c r="P93" i="6"/>
  <c r="H94" i="6" s="1"/>
  <c r="R94" i="6" s="1"/>
  <c r="G94" i="6"/>
  <c r="H87" i="11" l="1"/>
  <c r="J87" i="11" s="1"/>
  <c r="N87" i="11"/>
  <c r="I94" i="6"/>
  <c r="K87" i="11" l="1"/>
  <c r="L87" i="11" s="1"/>
  <c r="J94" i="6"/>
  <c r="K94" i="6"/>
  <c r="L94" i="6" s="1"/>
  <c r="N94" i="6" s="1"/>
  <c r="O94" i="6" s="1"/>
  <c r="M87" i="11" l="1"/>
  <c r="E88" i="11" s="1"/>
  <c r="F88" i="11" s="1"/>
  <c r="P94" i="6"/>
  <c r="H95" i="6" s="1"/>
  <c r="R95" i="6" s="1"/>
  <c r="G95" i="6"/>
  <c r="G88" i="11" l="1"/>
  <c r="I88" i="11" s="1"/>
  <c r="I95" i="6"/>
  <c r="N88" i="11" l="1"/>
  <c r="H88" i="11"/>
  <c r="J88" i="11" s="1"/>
  <c r="K95" i="6"/>
  <c r="L95" i="6" s="1"/>
  <c r="J95" i="6"/>
  <c r="K88" i="11" l="1"/>
  <c r="L88" i="11" s="1"/>
  <c r="N95" i="6"/>
  <c r="O95" i="6" s="1"/>
  <c r="M88" i="11" l="1"/>
  <c r="E89" i="11" s="1"/>
  <c r="F89" i="11" s="1"/>
  <c r="G96" i="6"/>
  <c r="P95" i="6"/>
  <c r="H96" i="6" s="1"/>
  <c r="R96" i="6" s="1"/>
  <c r="G89" i="11" l="1"/>
  <c r="I89" i="11" s="1"/>
  <c r="I96" i="6"/>
  <c r="H89" i="11" l="1"/>
  <c r="J89" i="11" s="1"/>
  <c r="N89" i="11"/>
  <c r="K96" i="6"/>
  <c r="L96" i="6" s="1"/>
  <c r="J96" i="6"/>
  <c r="K89" i="11" l="1"/>
  <c r="L89" i="11" s="1"/>
  <c r="N96" i="6"/>
  <c r="O96" i="6" s="1"/>
  <c r="P96" i="6" s="1"/>
  <c r="H97" i="6" s="1"/>
  <c r="R97" i="6" s="1"/>
  <c r="G97" i="6" l="1"/>
  <c r="M89" i="11"/>
  <c r="E90" i="11" s="1"/>
  <c r="F90" i="11" s="1"/>
  <c r="I97" i="6"/>
  <c r="G90" i="11" l="1"/>
  <c r="I90" i="11" s="1"/>
  <c r="J97" i="6"/>
  <c r="K97" i="6"/>
  <c r="L97" i="6" s="1"/>
  <c r="N90" i="11" l="1"/>
  <c r="H90" i="11"/>
  <c r="J90" i="11" s="1"/>
  <c r="N97" i="6"/>
  <c r="O97" i="6" s="1"/>
  <c r="G98" i="6" s="1"/>
  <c r="K90" i="11" l="1"/>
  <c r="L90" i="11" s="1"/>
  <c r="P97" i="6"/>
  <c r="H98" i="6" s="1"/>
  <c r="R98" i="6" s="1"/>
  <c r="M90" i="11" l="1"/>
  <c r="E91" i="11" s="1"/>
  <c r="F91" i="11" s="1"/>
  <c r="I98" i="6"/>
  <c r="K98" i="6" s="1"/>
  <c r="L98" i="6" s="1"/>
  <c r="G91" i="11" l="1"/>
  <c r="I91" i="11" s="1"/>
  <c r="J98" i="6"/>
  <c r="N98" i="6" s="1"/>
  <c r="O98" i="6" s="1"/>
  <c r="H91" i="11" l="1"/>
  <c r="J91" i="11" s="1"/>
  <c r="N91" i="11"/>
  <c r="P98" i="6"/>
  <c r="H99" i="6" s="1"/>
  <c r="R99" i="6" s="1"/>
  <c r="G99" i="6"/>
  <c r="I99" i="6"/>
  <c r="K91" i="11" l="1"/>
  <c r="L91" i="11" s="1"/>
  <c r="K99" i="6"/>
  <c r="L99" i="6" s="1"/>
  <c r="J99" i="6"/>
  <c r="M91" i="11" l="1"/>
  <c r="E92" i="11" s="1"/>
  <c r="F92" i="11" s="1"/>
  <c r="N99" i="6"/>
  <c r="O99" i="6" s="1"/>
  <c r="G100" i="6" s="1"/>
  <c r="G92" i="11" l="1"/>
  <c r="I92" i="11" s="1"/>
  <c r="P99" i="6"/>
  <c r="H100" i="6" s="1"/>
  <c r="R100" i="6" s="1"/>
  <c r="I100" i="6" l="1"/>
  <c r="J100" i="6" s="1"/>
  <c r="N92" i="11"/>
  <c r="H92" i="11"/>
  <c r="J92" i="11" s="1"/>
  <c r="K100" i="6" l="1"/>
  <c r="L100" i="6" s="1"/>
  <c r="N100" i="6" s="1"/>
  <c r="O100" i="6" s="1"/>
  <c r="K92" i="11"/>
  <c r="L92" i="11" s="1"/>
  <c r="M92" i="11" l="1"/>
  <c r="E93" i="11" s="1"/>
  <c r="F93" i="11" s="1"/>
  <c r="P100" i="6"/>
  <c r="H101" i="6" s="1"/>
  <c r="R101" i="6" s="1"/>
  <c r="G101" i="6"/>
  <c r="G93" i="11" l="1"/>
  <c r="I93" i="11" s="1"/>
  <c r="I101" i="6"/>
  <c r="H93" i="11" l="1"/>
  <c r="J93" i="11" s="1"/>
  <c r="N93" i="11"/>
  <c r="J101" i="6"/>
  <c r="K101" i="6"/>
  <c r="L101" i="6" s="1"/>
  <c r="K93" i="11" l="1"/>
  <c r="L93" i="11" s="1"/>
  <c r="N101" i="6"/>
  <c r="O101" i="6" s="1"/>
  <c r="M93" i="11" l="1"/>
  <c r="E94" i="11" s="1"/>
  <c r="F94" i="11" s="1"/>
  <c r="P101" i="6"/>
  <c r="H102" i="6" s="1"/>
  <c r="R102" i="6" s="1"/>
  <c r="G102" i="6"/>
  <c r="G94" i="11" l="1"/>
  <c r="I94" i="11" s="1"/>
  <c r="I102" i="6"/>
  <c r="N94" i="11" l="1"/>
  <c r="H94" i="11"/>
  <c r="J94" i="11" s="1"/>
  <c r="J102" i="6"/>
  <c r="K102" i="6"/>
  <c r="L102" i="6" s="1"/>
  <c r="K94" i="11" l="1"/>
  <c r="L94" i="11" s="1"/>
  <c r="N102" i="6"/>
  <c r="O102" i="6" s="1"/>
  <c r="M94" i="11" l="1"/>
  <c r="E95" i="11" s="1"/>
  <c r="F95" i="11" s="1"/>
  <c r="G103" i="6"/>
  <c r="P102" i="6"/>
  <c r="H103" i="6" s="1"/>
  <c r="R103" i="6" s="1"/>
  <c r="G95" i="11" l="1"/>
  <c r="I95" i="11" s="1"/>
  <c r="I103" i="6"/>
  <c r="H95" i="11" l="1"/>
  <c r="J95" i="11" s="1"/>
  <c r="N95" i="11"/>
  <c r="K103" i="6"/>
  <c r="L103" i="6" s="1"/>
  <c r="J103" i="6"/>
  <c r="K95" i="11" l="1"/>
  <c r="L95" i="11" s="1"/>
  <c r="N103" i="6"/>
  <c r="O103" i="6" s="1"/>
  <c r="G104" i="6" s="1"/>
  <c r="M95" i="11" l="1"/>
  <c r="E96" i="11" s="1"/>
  <c r="F96" i="11" s="1"/>
  <c r="G96" i="11" s="1"/>
  <c r="I96" i="11" s="1"/>
  <c r="P103" i="6"/>
  <c r="H104" i="6" s="1"/>
  <c r="R104" i="6" s="1"/>
  <c r="I104" i="6"/>
  <c r="N96" i="11" l="1"/>
  <c r="H96" i="11"/>
  <c r="J96" i="11" s="1"/>
  <c r="J104" i="6"/>
  <c r="K104" i="6"/>
  <c r="L104" i="6" s="1"/>
  <c r="K96" i="11" l="1"/>
  <c r="L96" i="11" s="1"/>
  <c r="N104" i="6"/>
  <c r="O104" i="6" s="1"/>
  <c r="M96" i="11" l="1"/>
  <c r="E97" i="11" s="1"/>
  <c r="F97" i="11" s="1"/>
  <c r="G105" i="6"/>
  <c r="P104" i="6"/>
  <c r="H105" i="6" s="1"/>
  <c r="R105" i="6" s="1"/>
  <c r="G97" i="11" l="1"/>
  <c r="I97" i="11" s="1"/>
  <c r="I105" i="6"/>
  <c r="H97" i="11" l="1"/>
  <c r="J97" i="11" s="1"/>
  <c r="N97" i="11"/>
  <c r="J105" i="6"/>
  <c r="K105" i="6"/>
  <c r="L105" i="6" s="1"/>
  <c r="K97" i="11" l="1"/>
  <c r="L97" i="11" s="1"/>
  <c r="N105" i="6"/>
  <c r="O105" i="6" s="1"/>
  <c r="M97" i="11" l="1"/>
  <c r="E98" i="11" s="1"/>
  <c r="F98" i="11" s="1"/>
  <c r="P105" i="6"/>
  <c r="H106" i="6" s="1"/>
  <c r="R106" i="6" s="1"/>
  <c r="G106" i="6"/>
  <c r="G98" i="11" l="1"/>
  <c r="I98" i="11" s="1"/>
  <c r="I106" i="6"/>
  <c r="N98" i="11" l="1"/>
  <c r="H98" i="11"/>
  <c r="J98" i="11" s="1"/>
  <c r="J106" i="6"/>
  <c r="K106" i="6"/>
  <c r="L106" i="6" s="1"/>
  <c r="K98" i="11" l="1"/>
  <c r="L98" i="11" s="1"/>
  <c r="N106" i="6"/>
  <c r="O106" i="6" s="1"/>
  <c r="M98" i="11" l="1"/>
  <c r="E99" i="11" s="1"/>
  <c r="F99" i="11" s="1"/>
  <c r="P106" i="6"/>
  <c r="H107" i="6" s="1"/>
  <c r="R107" i="6" s="1"/>
  <c r="G107" i="6"/>
  <c r="G99" i="11" l="1"/>
  <c r="I99" i="11" s="1"/>
  <c r="I107" i="6"/>
  <c r="H99" i="11" l="1"/>
  <c r="J99" i="11" s="1"/>
  <c r="N99" i="11"/>
  <c r="K107" i="6"/>
  <c r="L107" i="6" s="1"/>
  <c r="J107" i="6"/>
  <c r="K99" i="11" l="1"/>
  <c r="L99" i="11" s="1"/>
  <c r="N107" i="6"/>
  <c r="O107" i="6" s="1"/>
  <c r="G108" i="6" s="1"/>
  <c r="P107" i="6" l="1"/>
  <c r="H108" i="6" s="1"/>
  <c r="R108" i="6" s="1"/>
  <c r="M99" i="11"/>
  <c r="E100" i="11" s="1"/>
  <c r="F100" i="11" s="1"/>
  <c r="I108" i="6" l="1"/>
  <c r="K108" i="6" s="1"/>
  <c r="L108" i="6" s="1"/>
  <c r="G100" i="11"/>
  <c r="I100" i="11" s="1"/>
  <c r="J108" i="6" l="1"/>
  <c r="N100" i="11"/>
  <c r="H100" i="11"/>
  <c r="J100" i="11" s="1"/>
  <c r="N108" i="6"/>
  <c r="O108" i="6" s="1"/>
  <c r="P108" i="6" s="1"/>
  <c r="H109" i="6" s="1"/>
  <c r="R109" i="6" s="1"/>
  <c r="G109" i="6" l="1"/>
  <c r="K100" i="11"/>
  <c r="L100" i="11" s="1"/>
  <c r="I109" i="6"/>
  <c r="M100" i="11" l="1"/>
  <c r="E101" i="11" s="1"/>
  <c r="F101" i="11" s="1"/>
  <c r="K109" i="6"/>
  <c r="L109" i="6" s="1"/>
  <c r="J109" i="6"/>
  <c r="G101" i="11" l="1"/>
  <c r="I101" i="11" s="1"/>
  <c r="N109" i="6"/>
  <c r="O109" i="6" s="1"/>
  <c r="P109" i="6" s="1"/>
  <c r="H110" i="6" s="1"/>
  <c r="R110" i="6" s="1"/>
  <c r="G110" i="6" l="1"/>
  <c r="H101" i="11"/>
  <c r="J101" i="11" s="1"/>
  <c r="N101" i="11"/>
  <c r="I110" i="6"/>
  <c r="K101" i="11" l="1"/>
  <c r="L101" i="11" s="1"/>
  <c r="J110" i="6"/>
  <c r="K110" i="6"/>
  <c r="L110" i="6" s="1"/>
  <c r="M101" i="11" l="1"/>
  <c r="E102" i="11" s="1"/>
  <c r="F102" i="11" s="1"/>
  <c r="G102" i="11" s="1"/>
  <c r="I102" i="11" s="1"/>
  <c r="N110" i="6"/>
  <c r="O110" i="6" s="1"/>
  <c r="N102" i="11" l="1"/>
  <c r="H102" i="11"/>
  <c r="J102" i="11" s="1"/>
  <c r="G111" i="6"/>
  <c r="P110" i="6"/>
  <c r="H111" i="6" s="1"/>
  <c r="R111" i="6" s="1"/>
  <c r="K102" i="11" l="1"/>
  <c r="L102" i="11" s="1"/>
  <c r="I111" i="6"/>
  <c r="M102" i="11" l="1"/>
  <c r="E103" i="11" s="1"/>
  <c r="F103" i="11" s="1"/>
  <c r="G103" i="11" s="1"/>
  <c r="I103" i="11" s="1"/>
  <c r="K111" i="6"/>
  <c r="L111" i="6" s="1"/>
  <c r="J111" i="6"/>
  <c r="H103" i="11" l="1"/>
  <c r="J103" i="11" s="1"/>
  <c r="N103" i="11"/>
  <c r="N111" i="6"/>
  <c r="O111" i="6" s="1"/>
  <c r="P111" i="6" s="1"/>
  <c r="K103" i="11" l="1"/>
  <c r="L103" i="11" s="1"/>
  <c r="M103" i="11" l="1"/>
  <c r="E104" i="11" s="1"/>
  <c r="F104" i="11" s="1"/>
  <c r="G104" i="11" l="1"/>
  <c r="I104" i="11" s="1"/>
  <c r="N104" i="11" l="1"/>
  <c r="H104" i="11"/>
  <c r="J104" i="11" s="1"/>
  <c r="K104" i="11" l="1"/>
  <c r="L104" i="11" s="1"/>
  <c r="M104" i="11" l="1"/>
  <c r="E105" i="11" s="1"/>
  <c r="F105" i="11" s="1"/>
  <c r="G105" i="11" l="1"/>
  <c r="I105" i="11" s="1"/>
  <c r="H105" i="11" l="1"/>
  <c r="J105" i="11" s="1"/>
  <c r="N105" i="11"/>
  <c r="K105" i="11" l="1"/>
  <c r="L105" i="11" s="1"/>
  <c r="M105" i="11" l="1"/>
  <c r="E106" i="11" s="1"/>
  <c r="F106" i="11" s="1"/>
  <c r="G106" i="11" l="1"/>
  <c r="I106" i="11" s="1"/>
  <c r="N106" i="11" l="1"/>
  <c r="H106" i="11"/>
  <c r="J106" i="11" s="1"/>
  <c r="K106" i="11" l="1"/>
  <c r="L106" i="11" s="1"/>
  <c r="M106" i="11" l="1"/>
  <c r="E107" i="11" s="1"/>
  <c r="F107" i="11" s="1"/>
  <c r="G107" i="11" l="1"/>
  <c r="I107" i="11" s="1"/>
  <c r="H107" i="11" l="1"/>
  <c r="J107" i="11" s="1"/>
  <c r="N107" i="11"/>
  <c r="K107" i="11" l="1"/>
  <c r="L107" i="11" s="1"/>
  <c r="M107" i="11" l="1"/>
  <c r="E108" i="11" s="1"/>
  <c r="F108" i="11" s="1"/>
  <c r="G108" i="11" l="1"/>
  <c r="I108" i="11" s="1"/>
  <c r="N108" i="11" l="1"/>
  <c r="H108" i="11"/>
  <c r="J108" i="11" s="1"/>
  <c r="K108" i="11" l="1"/>
  <c r="L108" i="11" s="1"/>
  <c r="M108" i="11" l="1"/>
  <c r="E109" i="11" s="1"/>
  <c r="F109" i="11" s="1"/>
  <c r="G109" i="11" s="1"/>
  <c r="I109" i="11" s="1"/>
  <c r="H109" i="11" l="1"/>
  <c r="J109" i="11" s="1"/>
  <c r="N109" i="11"/>
  <c r="K109" i="11" l="1"/>
  <c r="L109" i="11" s="1"/>
  <c r="M109" i="11" l="1"/>
  <c r="E110" i="11" s="1"/>
  <c r="F110" i="11" s="1"/>
  <c r="G110" i="11" s="1"/>
  <c r="I110" i="11" s="1"/>
  <c r="H110" i="11" l="1"/>
  <c r="J110" i="11" s="1"/>
  <c r="N110" i="11"/>
  <c r="K110" i="11" l="1"/>
  <c r="L110" i="11" s="1"/>
  <c r="M110" i="11" l="1"/>
  <c r="E111" i="11" s="1"/>
  <c r="F111" i="11" s="1"/>
  <c r="G111" i="11" l="1"/>
  <c r="I111" i="11" s="1"/>
  <c r="N111" i="11" l="1"/>
  <c r="H111" i="11"/>
  <c r="J111" i="11" s="1"/>
  <c r="K111" i="11" l="1"/>
  <c r="L111" i="11" s="1"/>
  <c r="M111" i="11" l="1"/>
  <c r="E112" i="11" s="1"/>
  <c r="F112" i="11" s="1"/>
  <c r="G112" i="11" l="1"/>
  <c r="I112" i="11" s="1"/>
  <c r="H112" i="11" l="1"/>
  <c r="J112" i="11" s="1"/>
  <c r="N112" i="11"/>
  <c r="K112" i="11" l="1"/>
  <c r="L112" i="11" s="1"/>
  <c r="M112" i="11" l="1"/>
  <c r="E113" i="11" s="1"/>
  <c r="F113" i="11" s="1"/>
  <c r="G113" i="11" s="1"/>
  <c r="I113" i="11" s="1"/>
  <c r="H113" i="11" l="1"/>
  <c r="J113" i="11" s="1"/>
  <c r="N113" i="11"/>
  <c r="K113" i="11" l="1"/>
  <c r="L113" i="11" s="1"/>
  <c r="M113" i="11" l="1"/>
  <c r="E114" i="11" s="1"/>
  <c r="F114" i="11" s="1"/>
  <c r="G114" i="11" s="1"/>
  <c r="I114" i="11" s="1"/>
  <c r="H114" i="11" l="1"/>
  <c r="J114" i="11" s="1"/>
  <c r="N114" i="11"/>
  <c r="K114" i="11" l="1"/>
  <c r="L114" i="11" s="1"/>
  <c r="M114" i="11" l="1"/>
  <c r="E115" i="11" s="1"/>
  <c r="F115" i="11" s="1"/>
  <c r="G115" i="11" l="1"/>
  <c r="I115" i="11" s="1"/>
  <c r="H115" i="11" l="1"/>
  <c r="J115" i="11" s="1"/>
  <c r="N115" i="11"/>
  <c r="K115" i="11" l="1"/>
  <c r="L115" i="11" s="1"/>
  <c r="M115" i="11" l="1"/>
  <c r="E116" i="11" s="1"/>
  <c r="F116" i="11" s="1"/>
  <c r="G116" i="11" l="1"/>
  <c r="I116" i="11" s="1"/>
  <c r="H116" i="11" l="1"/>
  <c r="J116" i="11" s="1"/>
  <c r="N116" i="11"/>
  <c r="K116" i="11" l="1"/>
  <c r="L116" i="11" s="1"/>
  <c r="M116" i="11" l="1"/>
  <c r="E117" i="11" s="1"/>
  <c r="F117" i="11" s="1"/>
  <c r="G117" i="11" l="1"/>
  <c r="I117" i="11" s="1"/>
  <c r="H117" i="11" l="1"/>
  <c r="J117" i="11" s="1"/>
  <c r="N117" i="11"/>
  <c r="K117" i="11" l="1"/>
  <c r="L117" i="11" s="1"/>
  <c r="M117" i="11" l="1"/>
  <c r="E118" i="11" s="1"/>
  <c r="F118" i="11" s="1"/>
  <c r="G118" i="11" l="1"/>
  <c r="I118" i="11" s="1"/>
  <c r="H118" i="11" l="1"/>
  <c r="J118" i="11" s="1"/>
  <c r="N118" i="11"/>
  <c r="K118" i="11" l="1"/>
  <c r="L118" i="11" s="1"/>
  <c r="M118" i="11" l="1"/>
  <c r="E119" i="11" s="1"/>
  <c r="F119" i="11" s="1"/>
  <c r="G119" i="11" s="1"/>
  <c r="I119" i="11" s="1"/>
  <c r="H119" i="11" l="1"/>
  <c r="J119" i="11" s="1"/>
  <c r="N119" i="11"/>
  <c r="K119" i="11" l="1"/>
  <c r="L119" i="11" s="1"/>
  <c r="M119" i="11" l="1"/>
  <c r="E120" i="11" s="1"/>
  <c r="F120" i="11" s="1"/>
  <c r="G120" i="11" s="1"/>
  <c r="I120" i="11" s="1"/>
  <c r="H120" i="11" l="1"/>
  <c r="J120" i="11" s="1"/>
  <c r="N120" i="11"/>
  <c r="K120" i="11" l="1"/>
  <c r="L120" i="11" s="1"/>
  <c r="M120" i="11" l="1"/>
  <c r="E121" i="11" s="1"/>
  <c r="F121" i="11" s="1"/>
  <c r="G121" i="11" s="1"/>
  <c r="I121" i="11" s="1"/>
  <c r="H121" i="11" l="1"/>
  <c r="J121" i="11" s="1"/>
  <c r="N121" i="11"/>
  <c r="K121" i="11" l="1"/>
  <c r="L121" i="11" s="1"/>
  <c r="M121" i="11" l="1"/>
  <c r="E122" i="11" s="1"/>
  <c r="F122" i="11" s="1"/>
  <c r="G122" i="11" l="1"/>
  <c r="I122" i="11" s="1"/>
  <c r="H122" i="11" l="1"/>
  <c r="J122" i="11" s="1"/>
  <c r="N122" i="11"/>
  <c r="K122" i="11" l="1"/>
  <c r="L122" i="11" s="1"/>
  <c r="M122" i="11" l="1"/>
  <c r="E123" i="11" s="1"/>
  <c r="F123" i="11" s="1"/>
  <c r="G123" i="11" l="1"/>
  <c r="I123" i="11" s="1"/>
  <c r="H123" i="11" l="1"/>
  <c r="J123" i="11" s="1"/>
  <c r="N123" i="11"/>
  <c r="K123" i="11" l="1"/>
  <c r="L123" i="11" s="1"/>
  <c r="M123" i="11" l="1"/>
  <c r="E124" i="11" s="1"/>
  <c r="F124" i="11" s="1"/>
  <c r="G124" i="11" s="1"/>
  <c r="I124" i="11" s="1"/>
  <c r="H124" i="11" l="1"/>
  <c r="J124" i="11" s="1"/>
  <c r="N124" i="11"/>
  <c r="K124" i="11" l="1"/>
  <c r="L124" i="11" s="1"/>
  <c r="M124" i="11" l="1"/>
  <c r="E125" i="11" s="1"/>
  <c r="F125" i="11" s="1"/>
  <c r="G125" i="11" l="1"/>
  <c r="I125" i="11" s="1"/>
  <c r="H125" i="11" l="1"/>
  <c r="J125" i="11" s="1"/>
  <c r="N125" i="11"/>
  <c r="K125" i="11" l="1"/>
  <c r="L125" i="11" s="1"/>
  <c r="M125" i="11" l="1"/>
  <c r="E126" i="11" s="1"/>
  <c r="F126" i="11" s="1"/>
  <c r="G126" i="11" l="1"/>
  <c r="I126" i="11" s="1"/>
  <c r="H126" i="11" l="1"/>
  <c r="J126" i="11" s="1"/>
  <c r="N126" i="11"/>
  <c r="K126" i="11" l="1"/>
  <c r="L126" i="11" s="1"/>
  <c r="M126" i="11" l="1"/>
  <c r="E127" i="11" s="1"/>
  <c r="F127" i="11" s="1"/>
  <c r="G127" i="11" l="1"/>
  <c r="I127" i="11" s="1"/>
  <c r="H127" i="11" l="1"/>
  <c r="J127" i="11" s="1"/>
  <c r="N127" i="11"/>
  <c r="K127" i="11" l="1"/>
  <c r="L127" i="11" s="1"/>
  <c r="M127" i="11" l="1"/>
  <c r="E128" i="11" s="1"/>
  <c r="F128" i="11" s="1"/>
  <c r="G128" i="11" l="1"/>
  <c r="I128" i="11" s="1"/>
  <c r="H128" i="11" l="1"/>
  <c r="J128" i="11" s="1"/>
  <c r="N128" i="11"/>
  <c r="K128" i="11" l="1"/>
  <c r="L128" i="11" s="1"/>
  <c r="M128" i="11" l="1"/>
  <c r="E129" i="11" s="1"/>
  <c r="F129" i="11" s="1"/>
  <c r="G129" i="11" l="1"/>
  <c r="I129" i="11" s="1"/>
  <c r="H129" i="11" l="1"/>
  <c r="J129" i="11" s="1"/>
  <c r="N129" i="11"/>
  <c r="K129" i="11" l="1"/>
  <c r="L129" i="11" s="1"/>
  <c r="M129" i="11" l="1"/>
  <c r="E130" i="11" s="1"/>
  <c r="F130" i="11" s="1"/>
  <c r="G130" i="11" l="1"/>
  <c r="I130" i="11" s="1"/>
  <c r="H130" i="11" l="1"/>
  <c r="J130" i="11" s="1"/>
  <c r="N130" i="11"/>
  <c r="K130" i="11" l="1"/>
  <c r="L130" i="11" s="1"/>
  <c r="M130" i="11" l="1"/>
  <c r="E131" i="11" s="1"/>
  <c r="F131" i="11" s="1"/>
  <c r="G131" i="11" l="1"/>
  <c r="I131" i="11" s="1"/>
  <c r="H131" i="11" l="1"/>
  <c r="J131" i="11" s="1"/>
  <c r="N131" i="11"/>
  <c r="K131" i="11" l="1"/>
  <c r="L131" i="11" s="1"/>
  <c r="M131" i="11" l="1"/>
  <c r="E132" i="11" s="1"/>
  <c r="F132" i="11" s="1"/>
  <c r="G132" i="11" l="1"/>
  <c r="I132" i="11" s="1"/>
  <c r="H132" i="11" l="1"/>
  <c r="J132" i="11" s="1"/>
  <c r="N132" i="11"/>
  <c r="K132" i="11" l="1"/>
  <c r="L132" i="11" s="1"/>
  <c r="M132" i="11" l="1"/>
  <c r="E133" i="11" s="1"/>
  <c r="F133" i="11" s="1"/>
  <c r="G133" i="11" s="1"/>
  <c r="I133" i="11" s="1"/>
  <c r="H133" i="11" l="1"/>
  <c r="J133" i="11" s="1"/>
  <c r="N133" i="11"/>
  <c r="K133" i="11" l="1"/>
  <c r="L133" i="11" s="1"/>
  <c r="M133" i="11" l="1"/>
  <c r="E134" i="11" s="1"/>
  <c r="F134" i="11" s="1"/>
  <c r="G134" i="11" l="1"/>
  <c r="I134" i="11" s="1"/>
  <c r="H134" i="11" l="1"/>
  <c r="J134" i="11" s="1"/>
  <c r="N134" i="11"/>
  <c r="K134" i="11" l="1"/>
  <c r="L134" i="11" s="1"/>
  <c r="M134" i="11" l="1"/>
  <c r="E135" i="11" s="1"/>
  <c r="F135" i="11" s="1"/>
  <c r="G135" i="11" l="1"/>
  <c r="I135" i="11" s="1"/>
  <c r="H135" i="11" l="1"/>
  <c r="J135" i="11" s="1"/>
  <c r="N135" i="11"/>
  <c r="K135" i="11" l="1"/>
  <c r="L135" i="11" s="1"/>
  <c r="M135" i="11" l="1"/>
  <c r="E136" i="11" s="1"/>
  <c r="F136" i="11" s="1"/>
  <c r="G136" i="11" l="1"/>
  <c r="I136" i="11" s="1"/>
  <c r="H136" i="11" l="1"/>
  <c r="J136" i="11" s="1"/>
  <c r="N136" i="11"/>
  <c r="K136" i="11" l="1"/>
  <c r="L136" i="11" s="1"/>
  <c r="M136" i="11" l="1"/>
  <c r="E137" i="11" s="1"/>
  <c r="F137" i="11" s="1"/>
  <c r="G137" i="11" l="1"/>
  <c r="I137" i="11" s="1"/>
  <c r="H137" i="11" l="1"/>
  <c r="J137" i="11" s="1"/>
  <c r="N137" i="11"/>
  <c r="K137" i="11" l="1"/>
  <c r="L137" i="11" s="1"/>
  <c r="M137" i="11" l="1"/>
  <c r="E138" i="11" s="1"/>
  <c r="F138" i="11" s="1"/>
  <c r="G138" i="11" s="1"/>
  <c r="I138" i="11" s="1"/>
  <c r="H138" i="11" l="1"/>
  <c r="J138" i="11" s="1"/>
  <c r="N138" i="11"/>
  <c r="K138" i="11" l="1"/>
  <c r="L138" i="11" s="1"/>
  <c r="M138" i="11" l="1"/>
  <c r="E139" i="11" s="1"/>
  <c r="F139" i="11" s="1"/>
  <c r="G139" i="11" l="1"/>
  <c r="I139" i="11" s="1"/>
  <c r="H139" i="11" l="1"/>
  <c r="J139" i="11" s="1"/>
  <c r="N139" i="11"/>
  <c r="K139" i="11" l="1"/>
  <c r="L139" i="11" s="1"/>
  <c r="M139" i="11" l="1"/>
  <c r="E140" i="11" s="1"/>
  <c r="F140" i="11" s="1"/>
  <c r="G140" i="11" l="1"/>
  <c r="I140" i="11" s="1"/>
  <c r="H140" i="11" l="1"/>
  <c r="J140" i="11" s="1"/>
  <c r="N140" i="11"/>
  <c r="K140" i="11" l="1"/>
  <c r="L140" i="11" s="1"/>
  <c r="M140" i="11" l="1"/>
  <c r="E141" i="11" s="1"/>
  <c r="F141" i="11" s="1"/>
  <c r="G141" i="11" l="1"/>
  <c r="I141" i="11" s="1"/>
  <c r="H141" i="11" l="1"/>
  <c r="J141" i="11" s="1"/>
  <c r="N141" i="11"/>
  <c r="K141" i="11" l="1"/>
  <c r="L141" i="11" s="1"/>
  <c r="M141" i="11" l="1"/>
  <c r="E142" i="11" s="1"/>
  <c r="F142" i="11" s="1"/>
  <c r="G142" i="11" l="1"/>
  <c r="I142" i="11" s="1"/>
  <c r="H142" i="11" l="1"/>
  <c r="J142" i="11" s="1"/>
  <c r="N142" i="11"/>
  <c r="K142" i="11" l="1"/>
  <c r="L142" i="11" s="1"/>
  <c r="M142" i="11" l="1"/>
  <c r="E143" i="11" s="1"/>
  <c r="F143" i="11" s="1"/>
  <c r="G143" i="11" l="1"/>
  <c r="I143" i="11" s="1"/>
  <c r="H143" i="11" l="1"/>
  <c r="J143" i="11" s="1"/>
  <c r="N143" i="11"/>
  <c r="K143" i="11" l="1"/>
  <c r="L143" i="11" s="1"/>
  <c r="M143" i="11" l="1"/>
  <c r="E144" i="11" s="1"/>
  <c r="F144" i="11" s="1"/>
  <c r="G144" i="11" s="1"/>
  <c r="I144" i="11" s="1"/>
  <c r="H144" i="11" l="1"/>
  <c r="J144" i="11" s="1"/>
  <c r="N144" i="11"/>
  <c r="K144" i="11" l="1"/>
  <c r="L144" i="11" s="1"/>
  <c r="M144" i="11" l="1"/>
  <c r="E145" i="11" s="1"/>
  <c r="F145" i="11" s="1"/>
  <c r="G145" i="11" l="1"/>
  <c r="I145" i="11" s="1"/>
  <c r="H145" i="11" l="1"/>
  <c r="J145" i="11" s="1"/>
  <c r="N145" i="11"/>
  <c r="K145" i="11" l="1"/>
  <c r="L145" i="11" s="1"/>
  <c r="M145" i="11" l="1"/>
  <c r="E146" i="11" s="1"/>
  <c r="F146" i="11" s="1"/>
  <c r="G146" i="11" l="1"/>
  <c r="I146" i="11" s="1"/>
  <c r="H146" i="11" l="1"/>
  <c r="J146" i="11" s="1"/>
  <c r="N146" i="11"/>
  <c r="K146" i="11" l="1"/>
  <c r="L146" i="11" s="1"/>
  <c r="M146" i="11" l="1"/>
  <c r="E147" i="11" s="1"/>
  <c r="F147" i="11" s="1"/>
  <c r="G147" i="11" l="1"/>
  <c r="I147" i="11" s="1"/>
  <c r="H147" i="11" l="1"/>
  <c r="J147" i="11" s="1"/>
  <c r="N147" i="11"/>
  <c r="K147" i="11" l="1"/>
  <c r="L147" i="11" s="1"/>
  <c r="M147" i="11" l="1"/>
  <c r="E148" i="11" s="1"/>
  <c r="F148" i="11" s="1"/>
  <c r="G148" i="11" l="1"/>
  <c r="I148" i="11" s="1"/>
  <c r="H148" i="11" l="1"/>
  <c r="J148" i="11" s="1"/>
  <c r="N148" i="11"/>
  <c r="K148" i="11" l="1"/>
  <c r="L148" i="11" s="1"/>
  <c r="M148" i="11" l="1"/>
  <c r="E149" i="11" s="1"/>
  <c r="F149" i="11" s="1"/>
  <c r="G149" i="11" l="1"/>
  <c r="I149" i="11" s="1"/>
  <c r="H149" i="11" l="1"/>
  <c r="J149" i="11" s="1"/>
  <c r="N149" i="11"/>
  <c r="K149" i="11" l="1"/>
  <c r="L149" i="11" s="1"/>
  <c r="M149" i="11" l="1"/>
  <c r="E150" i="11" s="1"/>
  <c r="F150" i="11" s="1"/>
  <c r="G150" i="11" l="1"/>
  <c r="I150" i="11" s="1"/>
  <c r="H150" i="11" l="1"/>
  <c r="J150" i="11" s="1"/>
  <c r="N150" i="11"/>
  <c r="K150" i="11" l="1"/>
  <c r="L150" i="11" s="1"/>
  <c r="M150" i="11" l="1"/>
  <c r="E151" i="11" s="1"/>
  <c r="F151" i="11" s="1"/>
  <c r="G151" i="11" l="1"/>
  <c r="I151" i="11" s="1"/>
  <c r="H151" i="11" l="1"/>
  <c r="J151" i="11" s="1"/>
  <c r="N151" i="11"/>
  <c r="K151" i="11" l="1"/>
  <c r="L151" i="11" s="1"/>
  <c r="M151" i="11" l="1"/>
  <c r="E152" i="11" s="1"/>
  <c r="F152" i="11" s="1"/>
  <c r="G152" i="11" l="1"/>
  <c r="I152" i="11" s="1"/>
  <c r="H152" i="11" l="1"/>
  <c r="J152" i="11" s="1"/>
  <c r="N152" i="11"/>
  <c r="K152" i="11" l="1"/>
  <c r="L152" i="11" s="1"/>
  <c r="M152" i="11" l="1"/>
  <c r="E153" i="11" s="1"/>
  <c r="F153" i="11" s="1"/>
  <c r="G153" i="11" l="1"/>
  <c r="I153" i="11" s="1"/>
  <c r="H153" i="11" l="1"/>
  <c r="J153" i="11" s="1"/>
  <c r="N153" i="11"/>
  <c r="K153" i="11" l="1"/>
  <c r="L153" i="11" s="1"/>
  <c r="M153" i="11" l="1"/>
  <c r="E154" i="11" s="1"/>
  <c r="F154" i="11" s="1"/>
  <c r="G154" i="11" l="1"/>
  <c r="I154" i="11" s="1"/>
  <c r="H154" i="11" l="1"/>
  <c r="J154" i="11" s="1"/>
  <c r="N154" i="11"/>
  <c r="K154" i="11" l="1"/>
  <c r="L154" i="11" s="1"/>
  <c r="M154" i="11" l="1"/>
  <c r="E155" i="11" s="1"/>
  <c r="F155" i="11" s="1"/>
  <c r="G155" i="11" l="1"/>
  <c r="I155" i="11" s="1"/>
  <c r="H155" i="11" l="1"/>
  <c r="J155" i="11" s="1"/>
  <c r="N155" i="11"/>
  <c r="K155" i="11" l="1"/>
  <c r="L155" i="11" s="1"/>
  <c r="M155" i="11" l="1"/>
  <c r="E156" i="11" s="1"/>
  <c r="F156" i="11" s="1"/>
  <c r="G156" i="11" l="1"/>
  <c r="I156" i="11" s="1"/>
  <c r="H156" i="11" l="1"/>
  <c r="J156" i="11" s="1"/>
  <c r="N156" i="11"/>
  <c r="K156" i="11" l="1"/>
  <c r="L156" i="11" s="1"/>
  <c r="M156" i="11" l="1"/>
  <c r="E157" i="11" s="1"/>
  <c r="F157" i="11" s="1"/>
  <c r="G157" i="11" l="1"/>
  <c r="I157" i="11" s="1"/>
  <c r="H157" i="11" l="1"/>
  <c r="J157" i="11" s="1"/>
  <c r="N157" i="11"/>
  <c r="K157" i="11" l="1"/>
  <c r="L157" i="11" s="1"/>
  <c r="M157" i="11" l="1"/>
  <c r="E158" i="11" s="1"/>
  <c r="F158" i="11" s="1"/>
  <c r="G158" i="11" l="1"/>
  <c r="I158" i="11" s="1"/>
  <c r="H158" i="11" l="1"/>
  <c r="J158" i="11" s="1"/>
  <c r="N158" i="11"/>
  <c r="K158" i="11" l="1"/>
  <c r="L158" i="11" s="1"/>
  <c r="M158" i="11" l="1"/>
  <c r="E159" i="11" s="1"/>
  <c r="F159" i="11" s="1"/>
  <c r="G159" i="11" l="1"/>
  <c r="I159" i="11" s="1"/>
  <c r="H159" i="11" l="1"/>
  <c r="J159" i="11" s="1"/>
  <c r="N159" i="11"/>
  <c r="K159" i="11" l="1"/>
  <c r="L159" i="11" s="1"/>
  <c r="M159" i="11" l="1"/>
  <c r="E160" i="11" s="1"/>
  <c r="F160" i="11" s="1"/>
  <c r="G160" i="11" l="1"/>
  <c r="I160" i="11" s="1"/>
  <c r="H160" i="11" l="1"/>
  <c r="J160" i="11" s="1"/>
  <c r="N160" i="11"/>
  <c r="K160" i="11" l="1"/>
  <c r="L160" i="11" s="1"/>
  <c r="M160" i="11" l="1"/>
  <c r="E161" i="11" s="1"/>
  <c r="F161" i="11" s="1"/>
  <c r="G161" i="11" l="1"/>
  <c r="I161" i="11" s="1"/>
  <c r="H161" i="11" l="1"/>
  <c r="J161" i="11" s="1"/>
  <c r="N161" i="11"/>
  <c r="K161" i="11" l="1"/>
  <c r="L161" i="11" s="1"/>
  <c r="M161" i="11" l="1"/>
  <c r="E162" i="11" s="1"/>
  <c r="F162" i="11" s="1"/>
  <c r="G162" i="11" l="1"/>
  <c r="I162" i="11" s="1"/>
  <c r="H162" i="11" l="1"/>
  <c r="J162" i="11" s="1"/>
  <c r="N162" i="11"/>
  <c r="K162" i="11" l="1"/>
  <c r="L162" i="11" s="1"/>
  <c r="M162" i="11" l="1"/>
  <c r="E163" i="11" s="1"/>
  <c r="F163" i="11" s="1"/>
  <c r="G163" i="11" l="1"/>
  <c r="I163" i="11" s="1"/>
  <c r="H163" i="11" l="1"/>
  <c r="J163" i="11" s="1"/>
  <c r="N163" i="11"/>
  <c r="K163" i="11" l="1"/>
  <c r="L163" i="11" s="1"/>
  <c r="M163" i="11" l="1"/>
  <c r="E164" i="11" s="1"/>
  <c r="F164" i="11" s="1"/>
  <c r="G164" i="11" l="1"/>
  <c r="I164" i="11" s="1"/>
  <c r="H164" i="11" l="1"/>
  <c r="J164" i="11" s="1"/>
  <c r="N164" i="11"/>
  <c r="K164" i="11" l="1"/>
  <c r="L164" i="11" s="1"/>
  <c r="M164" i="11" l="1"/>
  <c r="E165" i="11" s="1"/>
  <c r="F165" i="11" s="1"/>
  <c r="G165" i="11" l="1"/>
  <c r="I165" i="11" s="1"/>
  <c r="H165" i="11" l="1"/>
  <c r="J165" i="11" s="1"/>
  <c r="N165" i="11"/>
  <c r="K165" i="11" l="1"/>
  <c r="L165" i="11" s="1"/>
  <c r="M165" i="11" l="1"/>
  <c r="E166" i="11" s="1"/>
  <c r="F166" i="11" s="1"/>
  <c r="G166" i="11" s="1"/>
  <c r="I166" i="11" s="1"/>
  <c r="H166" i="11" l="1"/>
  <c r="J166" i="11" s="1"/>
  <c r="N166" i="11"/>
  <c r="K166" i="11" l="1"/>
  <c r="L166" i="11" s="1"/>
  <c r="M166" i="11" l="1"/>
</calcChain>
</file>

<file path=xl/sharedStrings.xml><?xml version="1.0" encoding="utf-8"?>
<sst xmlns="http://schemas.openxmlformats.org/spreadsheetml/2006/main" count="409" uniqueCount="139">
  <si>
    <t>lamda</t>
  </si>
  <si>
    <t>q</t>
  </si>
  <si>
    <t>Larg Rett b</t>
  </si>
  <si>
    <t xml:space="preserve">z fondo </t>
  </si>
  <si>
    <t>s</t>
  </si>
  <si>
    <t>V2/2g</t>
  </si>
  <si>
    <t>h</t>
  </si>
  <si>
    <t>eps mm</t>
  </si>
  <si>
    <t>R idr</t>
  </si>
  <si>
    <t>V</t>
  </si>
  <si>
    <t>j</t>
  </si>
  <si>
    <t>i</t>
  </si>
  <si>
    <t>H</t>
  </si>
  <si>
    <t>DH</t>
  </si>
  <si>
    <t>DH/Dh</t>
  </si>
  <si>
    <t>k</t>
  </si>
  <si>
    <t>Dh</t>
  </si>
  <si>
    <t>V un (b&gt;&gt;h)</t>
  </si>
  <si>
    <t>hunif (b&gt;&gt;h)</t>
  </si>
  <si>
    <t>b</t>
  </si>
  <si>
    <t>dh</t>
  </si>
  <si>
    <t>Sez</t>
  </si>
  <si>
    <t>in GIALLO</t>
  </si>
  <si>
    <t xml:space="preserve">Dati di </t>
  </si>
  <si>
    <t>ingresso</t>
  </si>
  <si>
    <t>P bagnato</t>
  </si>
  <si>
    <t>Calcolo altezza critica</t>
  </si>
  <si>
    <t>Portata q</t>
  </si>
  <si>
    <t>Profili di corrente</t>
  </si>
  <si>
    <t>passo ds</t>
  </si>
  <si>
    <t>Pendenza Supercritica</t>
  </si>
  <si>
    <t>Corrente Veloce</t>
  </si>
  <si>
    <t>P*S</t>
  </si>
  <si>
    <t>spinta tot</t>
  </si>
  <si>
    <t>ro*g*h^2/2*b</t>
  </si>
  <si>
    <t>S*ro*V2</t>
  </si>
  <si>
    <t>IL FOGLIO ASSUME SEZIONE RETTANGOLARE PER IL CALCOLO SI SEZ ,ETC; MA IL PROCEDIMENTO</t>
  </si>
  <si>
    <t>E' VALIDO IN GENERALE</t>
  </si>
  <si>
    <t>Incremento</t>
  </si>
  <si>
    <t>Pendenza iu</t>
  </si>
  <si>
    <t>Ridr</t>
  </si>
  <si>
    <t>K</t>
  </si>
  <si>
    <t>Qu</t>
  </si>
  <si>
    <t>Qc</t>
  </si>
  <si>
    <t xml:space="preserve">Le caselle in Giallo sono relative a parametri di ingresso. </t>
  </si>
  <si>
    <t>LAMBDA</t>
  </si>
  <si>
    <t>MOTO NON UNIFORME - PASSAGGIO DI PENDENZA</t>
  </si>
  <si>
    <t xml:space="preserve">Canale ertt. Largo </t>
  </si>
  <si>
    <t>Q</t>
  </si>
  <si>
    <t>Pendenza Critica</t>
  </si>
  <si>
    <t xml:space="preserve">Larg Can b </t>
  </si>
  <si>
    <t>i1</t>
  </si>
  <si>
    <t>Alt cr k</t>
  </si>
  <si>
    <t>Hc</t>
  </si>
  <si>
    <t>PASSAGGIO SUPERCRITICA A SUBCRITICA</t>
  </si>
  <si>
    <t>hu1</t>
  </si>
  <si>
    <t>hu2</t>
  </si>
  <si>
    <t>i2</t>
  </si>
  <si>
    <t xml:space="preserve">Larg Ret  </t>
  </si>
  <si>
    <t>Molt</t>
  </si>
  <si>
    <t>Carico H</t>
  </si>
  <si>
    <t>Larg Iniz</t>
  </si>
  <si>
    <t>Converg</t>
  </si>
  <si>
    <t>b(x)</t>
  </si>
  <si>
    <t>d</t>
  </si>
  <si>
    <t>larg fin</t>
  </si>
  <si>
    <t>x</t>
  </si>
  <si>
    <t>Lunghez</t>
  </si>
  <si>
    <t>area b(x)</t>
  </si>
  <si>
    <t xml:space="preserve"> SEZIONE RETTANGOLARE  </t>
  </si>
  <si>
    <t xml:space="preserve">SEZIONE TRAPEZIA </t>
  </si>
  <si>
    <t>altezza</t>
  </si>
  <si>
    <t>Base Minore  lmin</t>
  </si>
  <si>
    <t>Base Maggiore lmax</t>
  </si>
  <si>
    <t>Tag= (lmax-lmin)/alt/2</t>
  </si>
  <si>
    <t>iu</t>
  </si>
  <si>
    <t>Lato</t>
  </si>
  <si>
    <t>Qc rett</t>
  </si>
  <si>
    <t>Larg</t>
  </si>
  <si>
    <t xml:space="preserve"> </t>
  </si>
  <si>
    <t>larg b</t>
  </si>
  <si>
    <t>hunif</t>
  </si>
  <si>
    <t>RETTANGOLO</t>
  </si>
  <si>
    <t xml:space="preserve">Larg Base </t>
  </si>
  <si>
    <t>Inclinazione lati 45</t>
  </si>
  <si>
    <t>Per Bag</t>
  </si>
  <si>
    <t xml:space="preserve">SEZ TRAPEZIA </t>
  </si>
  <si>
    <t>Sez^3</t>
  </si>
  <si>
    <t>b(k)</t>
  </si>
  <si>
    <t>gamma h /2</t>
  </si>
  <si>
    <t>p S</t>
  </si>
  <si>
    <t>ro V^2</t>
  </si>
  <si>
    <t>S*ro V^2</t>
  </si>
  <si>
    <t>S</t>
  </si>
  <si>
    <t>Moltiplicatore Q1 Q2</t>
  </si>
  <si>
    <t>Q2</t>
  </si>
  <si>
    <t>K formula</t>
  </si>
  <si>
    <t xml:space="preserve">Calcolo H(h) e S(h) IL FOGLIO ASSUME SEZIONE RETTANGOLARE PER </t>
  </si>
  <si>
    <t>N tot</t>
  </si>
  <si>
    <t>IL CALCOLO ; MA IL PROCEDIMENTO E' VALIDO IN GENERALE</t>
  </si>
  <si>
    <t>H(h)</t>
  </si>
  <si>
    <t>N(h) tot</t>
  </si>
  <si>
    <t xml:space="preserve">Canale rettangolare </t>
  </si>
  <si>
    <t>Nel caso di canale "largo":</t>
  </si>
  <si>
    <t>Pendenza i</t>
  </si>
  <si>
    <t>hn</t>
  </si>
  <si>
    <t>hn+1</t>
  </si>
  <si>
    <t>h0</t>
  </si>
  <si>
    <t>Ds</t>
  </si>
  <si>
    <t>v</t>
  </si>
  <si>
    <t>h=H- V^2/(2g)</t>
  </si>
  <si>
    <t>V^2/(2g</t>
  </si>
  <si>
    <t xml:space="preserve">R idr </t>
  </si>
  <si>
    <t>H0</t>
  </si>
  <si>
    <t>Hn</t>
  </si>
  <si>
    <t>Hn+1</t>
  </si>
  <si>
    <t>v2/2g</t>
  </si>
  <si>
    <t xml:space="preserve">hu Moto uniforme </t>
  </si>
  <si>
    <t>Hn+1=Hn+Ds(in+1-Jn)</t>
  </si>
  <si>
    <t>MOTO NON UNIFORME - debole pendenza</t>
  </si>
  <si>
    <t>Spinta totale N</t>
  </si>
  <si>
    <t xml:space="preserve">Integrazione dell' equazione del carico totale </t>
  </si>
  <si>
    <t>Verso dell' integrazione (Ds negativi)</t>
  </si>
  <si>
    <t xml:space="preserve">Verso della corrente </t>
  </si>
  <si>
    <t>Pendenza critica</t>
  </si>
  <si>
    <t>Calcolo attraverso l'equazione dell'altezza d'acqua</t>
  </si>
  <si>
    <t>S(h)</t>
  </si>
  <si>
    <t>1/(2gS(h)^2)</t>
  </si>
  <si>
    <t>rett</t>
  </si>
  <si>
    <t>1/(2gS(h)^2)*Q^2</t>
  </si>
  <si>
    <t>term. Cinetico</t>
  </si>
  <si>
    <t>rad(2g(H-h))</t>
  </si>
  <si>
    <t>H-h</t>
  </si>
  <si>
    <t>Calcolo Qu in funzione di hu</t>
  </si>
  <si>
    <t xml:space="preserve">         </t>
  </si>
  <si>
    <t>Pb(h)</t>
  </si>
  <si>
    <t>RETTANGOLO DI BASE b</t>
  </si>
  <si>
    <t>P Bag</t>
  </si>
  <si>
    <t>hunif (largo)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</si>
</sst>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E+00"/>
    <numFmt numFmtId="166" formatCode="0.0000"/>
    <numFmt numFmtId="167" formatCode="0.000000"/>
    <numFmt numFmtId="168" formatCode="0.0"/>
  </numFmts>
  <fonts count="28" x14ac:knownFonts="1">
    <font>
      <sz val="10"/>
      <name val="Arial"/>
    </font>
    <font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strike/>
      <sz val="10"/>
      <color theme="1"/>
      <name val="Arial"/>
      <family val="2"/>
    </font>
    <font>
      <sz val="10"/>
      <color rgb="FFFFC000"/>
      <name val="Arial"/>
      <family val="2"/>
    </font>
    <font>
      <sz val="10"/>
      <color theme="4" tint="0.39997558519241921"/>
      <name val="Arial"/>
      <family val="2"/>
    </font>
    <font>
      <sz val="10"/>
      <color theme="3"/>
      <name val="Arial"/>
      <family val="2"/>
    </font>
    <font>
      <sz val="10"/>
      <color rgb="FF002060"/>
      <name val="Arial"/>
      <family val="2"/>
    </font>
    <font>
      <sz val="10"/>
      <color rgb="FFFFFF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70C0"/>
      <name val="Arial"/>
      <family val="2"/>
    </font>
    <font>
      <sz val="10"/>
      <color rgb="FF92D050"/>
      <name val="Arial"/>
      <family val="2"/>
    </font>
    <font>
      <sz val="10"/>
      <color theme="9" tint="-0.499984740745262"/>
      <name val="Arial"/>
      <family val="2"/>
    </font>
    <font>
      <sz val="10"/>
      <color rgb="FF7030A0"/>
      <name val="Arial"/>
      <family val="2"/>
    </font>
    <font>
      <sz val="14"/>
      <name val="Arial"/>
      <family val="2"/>
    </font>
    <font>
      <sz val="10"/>
      <color theme="9" tint="0.59999389629810485"/>
      <name val="Arial"/>
      <family val="2"/>
    </font>
    <font>
      <sz val="10"/>
      <color rgb="FF00B050"/>
      <name val="Arial"/>
      <family val="2"/>
    </font>
    <font>
      <sz val="20"/>
      <name val="Arial"/>
      <family val="2"/>
    </font>
    <font>
      <b/>
      <sz val="10"/>
      <color theme="9" tint="-0.499984740745262"/>
      <name val="Arial"/>
      <family val="2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strike/>
      <sz val="10"/>
      <name val="Arial"/>
      <family val="2"/>
    </font>
    <font>
      <strike/>
      <sz val="10"/>
      <color theme="9" tint="-0.49998474074526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4">
    <xf numFmtId="0" fontId="0" fillId="0" borderId="0" xfId="0"/>
    <xf numFmtId="2" fontId="0" fillId="0" borderId="0" xfId="0" applyNumberFormat="1"/>
    <xf numFmtId="165" fontId="0" fillId="0" borderId="0" xfId="0" applyNumberFormat="1"/>
    <xf numFmtId="0" fontId="0" fillId="2" borderId="0" xfId="0" applyFill="1"/>
    <xf numFmtId="0" fontId="0" fillId="3" borderId="0" xfId="0" applyFill="1"/>
    <xf numFmtId="165" fontId="0" fillId="2" borderId="0" xfId="0" applyNumberFormat="1" applyFill="1"/>
    <xf numFmtId="0" fontId="0" fillId="4" borderId="0" xfId="0" applyFill="1"/>
    <xf numFmtId="165" fontId="0" fillId="4" borderId="0" xfId="0" applyNumberFormat="1" applyFill="1"/>
    <xf numFmtId="0" fontId="0" fillId="0" borderId="0" xfId="0" applyNumberFormat="1"/>
    <xf numFmtId="0" fontId="0" fillId="0" borderId="0" xfId="0" applyFill="1"/>
    <xf numFmtId="164" fontId="0" fillId="0" borderId="0" xfId="0" applyNumberFormat="1"/>
    <xf numFmtId="164" fontId="0" fillId="2" borderId="0" xfId="0" applyNumberFormat="1" applyFill="1"/>
    <xf numFmtId="164" fontId="1" fillId="0" borderId="0" xfId="0" applyNumberFormat="1" applyFont="1"/>
    <xf numFmtId="0" fontId="1" fillId="0" borderId="0" xfId="0" applyNumberFormat="1" applyFont="1"/>
    <xf numFmtId="0" fontId="1" fillId="0" borderId="0" xfId="0" applyFont="1"/>
    <xf numFmtId="165" fontId="1" fillId="0" borderId="0" xfId="0" applyNumberFormat="1" applyFont="1"/>
    <xf numFmtId="0" fontId="1" fillId="0" borderId="0" xfId="0" applyFont="1" applyFill="1"/>
    <xf numFmtId="0" fontId="2" fillId="4" borderId="0" xfId="0" applyFont="1" applyFill="1"/>
    <xf numFmtId="165" fontId="2" fillId="4" borderId="0" xfId="0" applyNumberFormat="1" applyFont="1" applyFill="1"/>
    <xf numFmtId="164" fontId="4" fillId="0" borderId="0" xfId="0" applyNumberFormat="1" applyFont="1"/>
    <xf numFmtId="0" fontId="4" fillId="0" borderId="0" xfId="0" applyFont="1"/>
    <xf numFmtId="165" fontId="4" fillId="0" borderId="0" xfId="0" applyNumberFormat="1" applyFont="1"/>
    <xf numFmtId="0" fontId="2" fillId="0" borderId="0" xfId="0" applyFont="1"/>
    <xf numFmtId="165" fontId="2" fillId="0" borderId="0" xfId="0" applyNumberFormat="1" applyFont="1"/>
    <xf numFmtId="0" fontId="0" fillId="0" borderId="0" xfId="0" applyBorder="1"/>
    <xf numFmtId="0" fontId="0" fillId="0" borderId="0" xfId="0" applyFill="1" applyBorder="1"/>
    <xf numFmtId="0" fontId="1" fillId="2" borderId="0" xfId="0" applyFont="1" applyFill="1"/>
    <xf numFmtId="166" fontId="0" fillId="0" borderId="0" xfId="0" applyNumberFormat="1"/>
    <xf numFmtId="0" fontId="0" fillId="0" borderId="1" xfId="0" applyBorder="1"/>
    <xf numFmtId="164" fontId="0" fillId="5" borderId="1" xfId="0" applyNumberFormat="1" applyFill="1" applyBorder="1"/>
    <xf numFmtId="165" fontId="1" fillId="0" borderId="1" xfId="0" applyNumberFormat="1" applyFont="1" applyBorder="1"/>
    <xf numFmtId="0" fontId="0" fillId="6" borderId="0" xfId="0" applyFill="1"/>
    <xf numFmtId="164" fontId="0" fillId="6" borderId="0" xfId="0" applyNumberFormat="1" applyFill="1"/>
    <xf numFmtId="0" fontId="1" fillId="7" borderId="0" xfId="0" applyFont="1" applyFill="1"/>
    <xf numFmtId="0" fontId="0" fillId="7" borderId="0" xfId="0" applyFill="1"/>
    <xf numFmtId="0" fontId="1" fillId="6" borderId="0" xfId="0" applyFont="1" applyFill="1"/>
    <xf numFmtId="0" fontId="7" fillId="8" borderId="0" xfId="0" applyFont="1" applyFill="1"/>
    <xf numFmtId="165" fontId="7" fillId="8" borderId="0" xfId="0" applyNumberFormat="1" applyFont="1" applyFill="1"/>
    <xf numFmtId="0" fontId="8" fillId="0" borderId="0" xfId="0" applyFont="1"/>
    <xf numFmtId="164" fontId="0" fillId="0" borderId="0" xfId="0" applyNumberFormat="1" applyFill="1"/>
    <xf numFmtId="0" fontId="0" fillId="5" borderId="0" xfId="0" applyFill="1"/>
    <xf numFmtId="0" fontId="6" fillId="5" borderId="0" xfId="0" applyFont="1" applyFill="1"/>
    <xf numFmtId="165" fontId="6" fillId="5" borderId="0" xfId="0" applyNumberFormat="1" applyFont="1" applyFill="1"/>
    <xf numFmtId="165" fontId="9" fillId="0" borderId="0" xfId="0" applyNumberFormat="1" applyFont="1"/>
    <xf numFmtId="0" fontId="10" fillId="2" borderId="0" xfId="0" applyFont="1" applyFill="1"/>
    <xf numFmtId="2" fontId="1" fillId="0" borderId="0" xfId="0" applyNumberFormat="1" applyFont="1"/>
    <xf numFmtId="165" fontId="11" fillId="0" borderId="0" xfId="0" applyNumberFormat="1" applyFont="1"/>
    <xf numFmtId="166" fontId="11" fillId="0" borderId="0" xfId="0" applyNumberFormat="1" applyFont="1"/>
    <xf numFmtId="0" fontId="12" fillId="7" borderId="0" xfId="0" applyFont="1" applyFill="1" applyBorder="1"/>
    <xf numFmtId="0" fontId="12" fillId="7" borderId="0" xfId="0" applyFont="1" applyFill="1"/>
    <xf numFmtId="0" fontId="13" fillId="6" borderId="0" xfId="0" applyFont="1" applyFill="1"/>
    <xf numFmtId="0" fontId="8" fillId="5" borderId="0" xfId="0" applyFont="1" applyFill="1"/>
    <xf numFmtId="0" fontId="6" fillId="0" borderId="0" xfId="0" applyFont="1"/>
    <xf numFmtId="0" fontId="15" fillId="0" borderId="0" xfId="0" applyFont="1"/>
    <xf numFmtId="166" fontId="6" fillId="0" borderId="0" xfId="0" applyNumberFormat="1" applyFont="1"/>
    <xf numFmtId="0" fontId="14" fillId="0" borderId="0" xfId="0" applyFont="1"/>
    <xf numFmtId="0" fontId="5" fillId="0" borderId="0" xfId="0" applyFont="1"/>
    <xf numFmtId="166" fontId="0" fillId="0" borderId="0" xfId="0" applyNumberFormat="1" applyFill="1"/>
    <xf numFmtId="0" fontId="8" fillId="6" borderId="0" xfId="0" applyFont="1" applyFill="1"/>
    <xf numFmtId="164" fontId="1" fillId="0" borderId="1" xfId="0" applyNumberFormat="1" applyFont="1" applyBorder="1"/>
    <xf numFmtId="164" fontId="0" fillId="0" borderId="1" xfId="0" applyNumberFormat="1" applyBorder="1"/>
    <xf numFmtId="167" fontId="0" fillId="5" borderId="1" xfId="0" applyNumberFormat="1" applyFill="1" applyBorder="1"/>
    <xf numFmtId="166" fontId="12" fillId="7" borderId="0" xfId="0" applyNumberFormat="1" applyFont="1" applyFill="1"/>
    <xf numFmtId="164" fontId="2" fillId="0" borderId="0" xfId="0" applyNumberFormat="1" applyFont="1"/>
    <xf numFmtId="0" fontId="3" fillId="0" borderId="0" xfId="0" applyFont="1"/>
    <xf numFmtId="168" fontId="0" fillId="0" borderId="0" xfId="0" applyNumberFormat="1"/>
    <xf numFmtId="168" fontId="1" fillId="0" borderId="0" xfId="0" applyNumberFormat="1" applyFont="1"/>
    <xf numFmtId="168" fontId="6" fillId="0" borderId="0" xfId="0" applyNumberFormat="1" applyFont="1"/>
    <xf numFmtId="0" fontId="3" fillId="6" borderId="0" xfId="0" applyFont="1" applyFill="1"/>
    <xf numFmtId="0" fontId="10" fillId="0" borderId="0" xfId="0" applyFont="1"/>
    <xf numFmtId="0" fontId="6" fillId="0" borderId="0" xfId="0" applyFont="1" applyFill="1"/>
    <xf numFmtId="164" fontId="2" fillId="5" borderId="0" xfId="0" applyNumberFormat="1" applyFont="1" applyFill="1"/>
    <xf numFmtId="165" fontId="0" fillId="5" borderId="0" xfId="0" applyNumberFormat="1" applyFill="1"/>
    <xf numFmtId="2" fontId="6" fillId="0" borderId="0" xfId="0" applyNumberFormat="1" applyFont="1"/>
    <xf numFmtId="2" fontId="2" fillId="0" borderId="0" xfId="0" applyNumberFormat="1" applyFont="1"/>
    <xf numFmtId="164" fontId="13" fillId="6" borderId="0" xfId="0" applyNumberFormat="1" applyFont="1" applyFill="1"/>
    <xf numFmtId="2" fontId="0" fillId="5" borderId="0" xfId="0" applyNumberFormat="1" applyFill="1"/>
    <xf numFmtId="2" fontId="0" fillId="9" borderId="0" xfId="0" applyNumberFormat="1" applyFill="1"/>
    <xf numFmtId="2" fontId="6" fillId="9" borderId="0" xfId="0" applyNumberFormat="1" applyFont="1" applyFill="1"/>
    <xf numFmtId="2" fontId="2" fillId="9" borderId="0" xfId="0" applyNumberFormat="1" applyFont="1" applyFill="1"/>
    <xf numFmtId="164" fontId="6" fillId="0" borderId="0" xfId="0" applyNumberFormat="1" applyFont="1"/>
    <xf numFmtId="164" fontId="0" fillId="8" borderId="0" xfId="0" applyNumberFormat="1" applyFill="1"/>
    <xf numFmtId="168" fontId="0" fillId="8" borderId="0" xfId="0" applyNumberFormat="1" applyFill="1"/>
    <xf numFmtId="168" fontId="1" fillId="8" borderId="0" xfId="0" applyNumberFormat="1" applyFont="1" applyFill="1"/>
    <xf numFmtId="168" fontId="6" fillId="8" borderId="0" xfId="0" applyNumberFormat="1" applyFont="1" applyFill="1"/>
    <xf numFmtId="164" fontId="0" fillId="5" borderId="0" xfId="0" applyNumberFormat="1" applyFill="1"/>
    <xf numFmtId="164" fontId="13" fillId="5" borderId="0" xfId="0" applyNumberFormat="1" applyFont="1" applyFill="1"/>
    <xf numFmtId="0" fontId="0" fillId="5" borderId="0" xfId="0" applyNumberFormat="1" applyFill="1"/>
    <xf numFmtId="2" fontId="2" fillId="5" borderId="0" xfId="0" applyNumberFormat="1" applyFont="1" applyFill="1"/>
    <xf numFmtId="168" fontId="0" fillId="5" borderId="0" xfId="0" applyNumberFormat="1" applyFill="1"/>
    <xf numFmtId="168" fontId="1" fillId="5" borderId="0" xfId="0" applyNumberFormat="1" applyFont="1" applyFill="1"/>
    <xf numFmtId="168" fontId="6" fillId="5" borderId="0" xfId="0" applyNumberFormat="1" applyFont="1" applyFill="1"/>
    <xf numFmtId="168" fontId="0" fillId="10" borderId="0" xfId="0" applyNumberFormat="1" applyFill="1"/>
    <xf numFmtId="168" fontId="1" fillId="10" borderId="0" xfId="0" applyNumberFormat="1" applyFont="1" applyFill="1"/>
    <xf numFmtId="0" fontId="0" fillId="11" borderId="0" xfId="0" applyFill="1"/>
    <xf numFmtId="0" fontId="1" fillId="0" borderId="0" xfId="1"/>
    <xf numFmtId="0" fontId="1" fillId="6" borderId="0" xfId="1" applyFill="1"/>
    <xf numFmtId="0" fontId="16" fillId="0" borderId="0" xfId="1" applyFont="1"/>
    <xf numFmtId="0" fontId="17" fillId="0" borderId="0" xfId="1" applyFont="1"/>
    <xf numFmtId="0" fontId="18" fillId="0" borderId="0" xfId="1" applyFont="1"/>
    <xf numFmtId="0" fontId="13" fillId="0" borderId="0" xfId="1" applyFont="1"/>
    <xf numFmtId="0" fontId="8" fillId="0" borderId="0" xfId="1" applyFont="1"/>
    <xf numFmtId="0" fontId="8" fillId="5" borderId="0" xfId="1" applyFont="1" applyFill="1"/>
    <xf numFmtId="0" fontId="16" fillId="6" borderId="0" xfId="1" applyFont="1" applyFill="1"/>
    <xf numFmtId="0" fontId="17" fillId="0" borderId="0" xfId="0" applyFont="1"/>
    <xf numFmtId="164" fontId="18" fillId="0" borderId="0" xfId="0" applyNumberFormat="1" applyFont="1"/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166" fontId="0" fillId="5" borderId="0" xfId="0" applyNumberFormat="1" applyFill="1"/>
    <xf numFmtId="164" fontId="0" fillId="12" borderId="0" xfId="0" applyNumberFormat="1" applyFill="1"/>
    <xf numFmtId="168" fontId="0" fillId="12" borderId="0" xfId="0" applyNumberFormat="1" applyFill="1"/>
    <xf numFmtId="168" fontId="1" fillId="12" borderId="0" xfId="0" applyNumberFormat="1" applyFont="1" applyFill="1"/>
    <xf numFmtId="168" fontId="6" fillId="12" borderId="0" xfId="0" applyNumberFormat="1" applyFont="1" applyFill="1"/>
    <xf numFmtId="166" fontId="0" fillId="12" borderId="0" xfId="0" applyNumberFormat="1" applyFill="1"/>
    <xf numFmtId="168" fontId="6" fillId="0" borderId="0" xfId="0" applyNumberFormat="1" applyFont="1" applyFill="1"/>
    <xf numFmtId="2" fontId="0" fillId="7" borderId="0" xfId="0" applyNumberFormat="1" applyFill="1"/>
    <xf numFmtId="2" fontId="0" fillId="11" borderId="0" xfId="0" applyNumberFormat="1" applyFill="1"/>
    <xf numFmtId="164" fontId="0" fillId="7" borderId="0" xfId="0" applyNumberFormat="1" applyFill="1"/>
    <xf numFmtId="164" fontId="0" fillId="13" borderId="0" xfId="0" applyNumberFormat="1" applyFill="1"/>
    <xf numFmtId="0" fontId="19" fillId="0" borderId="0" xfId="0" applyFont="1"/>
    <xf numFmtId="0" fontId="13" fillId="0" borderId="0" xfId="0" applyFont="1"/>
    <xf numFmtId="2" fontId="13" fillId="0" borderId="0" xfId="0" applyNumberFormat="1" applyFont="1"/>
    <xf numFmtId="166" fontId="8" fillId="0" borderId="0" xfId="0" applyNumberFormat="1" applyFont="1"/>
    <xf numFmtId="0" fontId="12" fillId="0" borderId="0" xfId="0" applyNumberFormat="1" applyFont="1"/>
    <xf numFmtId="166" fontId="6" fillId="0" borderId="0" xfId="0" applyNumberFormat="1" applyFont="1" applyFill="1"/>
    <xf numFmtId="166" fontId="20" fillId="0" borderId="0" xfId="0" applyNumberFormat="1" applyFont="1" applyFill="1"/>
    <xf numFmtId="166" fontId="20" fillId="5" borderId="0" xfId="0" applyNumberFormat="1" applyFont="1" applyFill="1"/>
    <xf numFmtId="0" fontId="16" fillId="0" borderId="0" xfId="0" applyFont="1"/>
    <xf numFmtId="166" fontId="16" fillId="0" borderId="0" xfId="0" applyNumberFormat="1" applyFont="1"/>
    <xf numFmtId="0" fontId="21" fillId="0" borderId="0" xfId="0" applyFont="1"/>
    <xf numFmtId="0" fontId="22" fillId="0" borderId="0" xfId="0" applyFont="1"/>
    <xf numFmtId="0" fontId="4" fillId="2" borderId="0" xfId="0" applyFont="1" applyFill="1"/>
    <xf numFmtId="165" fontId="4" fillId="4" borderId="0" xfId="0" applyNumberFormat="1" applyFont="1" applyFill="1"/>
    <xf numFmtId="165" fontId="4" fillId="2" borderId="0" xfId="0" applyNumberFormat="1" applyFont="1" applyFill="1"/>
    <xf numFmtId="2" fontId="4" fillId="0" borderId="0" xfId="0" applyNumberFormat="1" applyFont="1"/>
    <xf numFmtId="0" fontId="23" fillId="0" borderId="0" xfId="0" applyFont="1"/>
    <xf numFmtId="0" fontId="4" fillId="6" borderId="0" xfId="0" applyFont="1" applyFill="1"/>
    <xf numFmtId="165" fontId="4" fillId="6" borderId="0" xfId="0" applyNumberFormat="1" applyFont="1" applyFill="1"/>
    <xf numFmtId="165" fontId="17" fillId="0" borderId="0" xfId="0" applyNumberFormat="1" applyFont="1"/>
    <xf numFmtId="0" fontId="4" fillId="6" borderId="0" xfId="1" applyFont="1" applyFill="1"/>
    <xf numFmtId="0" fontId="4" fillId="0" borderId="0" xfId="1" applyFont="1"/>
    <xf numFmtId="0" fontId="15" fillId="0" borderId="0" xfId="1" applyFont="1"/>
    <xf numFmtId="0" fontId="24" fillId="0" borderId="0" xfId="0" applyFont="1"/>
    <xf numFmtId="0" fontId="25" fillId="0" borderId="0" xfId="0" applyFont="1"/>
    <xf numFmtId="165" fontId="25" fillId="0" borderId="0" xfId="0" applyNumberFormat="1" applyFont="1"/>
    <xf numFmtId="0" fontId="4" fillId="2" borderId="1" xfId="0" applyFont="1" applyFill="1" applyBorder="1"/>
    <xf numFmtId="0" fontId="23" fillId="0" borderId="0" xfId="1" applyFont="1"/>
    <xf numFmtId="0" fontId="23" fillId="6" borderId="2" xfId="1" applyFont="1" applyFill="1" applyBorder="1"/>
    <xf numFmtId="0" fontId="23" fillId="6" borderId="3" xfId="1" applyFont="1" applyFill="1" applyBorder="1"/>
    <xf numFmtId="0" fontId="26" fillId="0" borderId="0" xfId="1" applyFont="1"/>
    <xf numFmtId="0" fontId="27" fillId="0" borderId="0" xfId="1" applyFont="1"/>
    <xf numFmtId="0" fontId="7" fillId="0" borderId="0" xfId="1" applyFont="1"/>
    <xf numFmtId="0" fontId="0" fillId="12" borderId="0" xfId="0" applyFill="1"/>
    <xf numFmtId="166" fontId="6" fillId="12" borderId="0" xfId="0" applyNumberFormat="1" applyFont="1" applyFill="1"/>
  </cellXfs>
  <cellStyles count="2">
    <cellStyle name="Normal" xfId="0" builtinId="0"/>
    <cellStyle name="Normal 2" xfId="1" xr:uid="{C7649936-D8A7-4B81-A126-0B20C86057FB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444705737286189"/>
          <c:y val="0.10741384303504201"/>
          <c:w val="0.7024656943049904"/>
          <c:h val="0.8254032212089909"/>
        </c:manualLayout>
      </c:layout>
      <c:scatterChart>
        <c:scatterStyle val="lineMarker"/>
        <c:varyColors val="0"/>
        <c:ser>
          <c:idx val="0"/>
          <c:order val="0"/>
          <c:tx>
            <c:v>H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'H(h)'!$D$18:$D$31</c:f>
              <c:numCache>
                <c:formatCode>General</c:formatCode>
                <c:ptCount val="14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0.25</c:v>
                </c:pt>
                <c:pt idx="4">
                  <c:v>0.27</c:v>
                </c:pt>
                <c:pt idx="5">
                  <c:v>0.3</c:v>
                </c:pt>
                <c:pt idx="6">
                  <c:v>0.35</c:v>
                </c:pt>
                <c:pt idx="7">
                  <c:v>0.375</c:v>
                </c:pt>
                <c:pt idx="8">
                  <c:v>0.38</c:v>
                </c:pt>
                <c:pt idx="9">
                  <c:v>0.39</c:v>
                </c:pt>
                <c:pt idx="10">
                  <c:v>0.4</c:v>
                </c:pt>
                <c:pt idx="11">
                  <c:v>0.5</c:v>
                </c:pt>
                <c:pt idx="12">
                  <c:v>0.6</c:v>
                </c:pt>
                <c:pt idx="13">
                  <c:v>1.5</c:v>
                </c:pt>
              </c:numCache>
            </c:numRef>
          </c:xVal>
          <c:yVal>
            <c:numRef>
              <c:f>'H(h)'!$K$18:$K$31</c:f>
              <c:numCache>
                <c:formatCode>0.0000</c:formatCode>
                <c:ptCount val="14"/>
                <c:pt idx="0">
                  <c:v>0.68710499490316002</c:v>
                </c:pt>
                <c:pt idx="1">
                  <c:v>0.25927624872579003</c:v>
                </c:pt>
                <c:pt idx="2">
                  <c:v>0.2398190621814475</c:v>
                </c:pt>
                <c:pt idx="3">
                  <c:v>0.27548419979612637</c:v>
                </c:pt>
                <c:pt idx="4">
                  <c:v>0.29184859378954597</c:v>
                </c:pt>
                <c:pt idx="5">
                  <c:v>0.31769736096953222</c:v>
                </c:pt>
                <c:pt idx="6">
                  <c:v>0.3630021427531257</c:v>
                </c:pt>
                <c:pt idx="7">
                  <c:v>0.38632631102050063</c:v>
                </c:pt>
                <c:pt idx="8">
                  <c:v>0.39103021113059488</c:v>
                </c:pt>
                <c:pt idx="9">
                  <c:v>0.40047181122457531</c:v>
                </c:pt>
                <c:pt idx="10">
                  <c:v>0.40995476554536192</c:v>
                </c:pt>
                <c:pt idx="11">
                  <c:v>0.50637104994903159</c:v>
                </c:pt>
                <c:pt idx="12">
                  <c:v>0.60442434024238301</c:v>
                </c:pt>
                <c:pt idx="13">
                  <c:v>1.5007078944387813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C5-4B86-8418-DC8B5C3D2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7312384"/>
        <c:axId val="1334589888"/>
      </c:scatterChart>
      <c:valAx>
        <c:axId val="1237312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4589888"/>
        <c:crosses val="autoZero"/>
        <c:crossBetween val="midCat"/>
      </c:valAx>
      <c:valAx>
        <c:axId val="133458988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73123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59185746942924E-2"/>
          <c:y val="3.8707591388594892E-2"/>
          <c:w val="0.73424325991509121"/>
          <c:h val="0.89319298898568256"/>
        </c:manualLayout>
      </c:layout>
      <c:scatterChart>
        <c:scatterStyle val="smoothMarker"/>
        <c:varyColors val="0"/>
        <c:ser>
          <c:idx val="1"/>
          <c:order val="0"/>
          <c:tx>
            <c:v>Q1</c:v>
          </c:tx>
          <c:marker>
            <c:symbol val="none"/>
          </c:marker>
          <c:xVal>
            <c:numRef>
              <c:f>' H(h) N(h)'!$C$6:$C$42</c:f>
              <c:numCache>
                <c:formatCode>0.000</c:formatCode>
                <c:ptCount val="37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6.0000000000000005E-2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9.9999999999999992E-2</c:v>
                </c:pt>
                <c:pt idx="10">
                  <c:v>0.10999999999999999</c:v>
                </c:pt>
                <c:pt idx="11">
                  <c:v>0.11999999999999998</c:v>
                </c:pt>
                <c:pt idx="12">
                  <c:v>0.12999999999999998</c:v>
                </c:pt>
                <c:pt idx="13">
                  <c:v>0.13999999999999999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0.18000000000000002</c:v>
                </c:pt>
                <c:pt idx="18">
                  <c:v>0.19000000000000003</c:v>
                </c:pt>
                <c:pt idx="19">
                  <c:v>0.20000000000000004</c:v>
                </c:pt>
                <c:pt idx="20">
                  <c:v>0.21000000000000005</c:v>
                </c:pt>
                <c:pt idx="21">
                  <c:v>0.22000000000000006</c:v>
                </c:pt>
                <c:pt idx="22">
                  <c:v>0.23000000000000007</c:v>
                </c:pt>
                <c:pt idx="23">
                  <c:v>0.24000000000000007</c:v>
                </c:pt>
                <c:pt idx="24">
                  <c:v>0.25000000000000006</c:v>
                </c:pt>
                <c:pt idx="25">
                  <c:v>0.26000000000000006</c:v>
                </c:pt>
                <c:pt idx="26">
                  <c:v>0.27000000000000007</c:v>
                </c:pt>
                <c:pt idx="27">
                  <c:v>0.28000000000000008</c:v>
                </c:pt>
                <c:pt idx="28">
                  <c:v>0.29000000000000009</c:v>
                </c:pt>
                <c:pt idx="29">
                  <c:v>0.3000000000000001</c:v>
                </c:pt>
                <c:pt idx="30">
                  <c:v>0.31000000000000011</c:v>
                </c:pt>
                <c:pt idx="31">
                  <c:v>0.32000000000000012</c:v>
                </c:pt>
                <c:pt idx="32">
                  <c:v>0.33000000000000013</c:v>
                </c:pt>
                <c:pt idx="33">
                  <c:v>0.34000000000000014</c:v>
                </c:pt>
                <c:pt idx="34">
                  <c:v>0.35000000000000014</c:v>
                </c:pt>
                <c:pt idx="35">
                  <c:v>0.36000000000000015</c:v>
                </c:pt>
                <c:pt idx="36">
                  <c:v>0.37000000000000016</c:v>
                </c:pt>
              </c:numCache>
            </c:numRef>
          </c:xVal>
          <c:yVal>
            <c:numRef>
              <c:f>' H(h) N(h)'!$H$6:$H$42</c:f>
              <c:numCache>
                <c:formatCode>0.000</c:formatCode>
                <c:ptCount val="37"/>
                <c:pt idx="0">
                  <c:v>20.397359836901121</c:v>
                </c:pt>
                <c:pt idx="1">
                  <c:v>5.1168399592252793</c:v>
                </c:pt>
                <c:pt idx="2">
                  <c:v>2.2952622041001245</c:v>
                </c:pt>
                <c:pt idx="3">
                  <c:v>1.31420998980632</c:v>
                </c:pt>
                <c:pt idx="4">
                  <c:v>0.86549439347604484</c:v>
                </c:pt>
                <c:pt idx="5">
                  <c:v>0.62631555102503111</c:v>
                </c:pt>
                <c:pt idx="6">
                  <c:v>0.4860685681000228</c:v>
                </c:pt>
                <c:pt idx="7">
                  <c:v>0.39855249745158</c:v>
                </c:pt>
                <c:pt idx="8">
                  <c:v>0.34169580045556947</c:v>
                </c:pt>
                <c:pt idx="9">
                  <c:v>0.30387359836901118</c:v>
                </c:pt>
                <c:pt idx="10">
                  <c:v>0.27849057716447212</c:v>
                </c:pt>
                <c:pt idx="11">
                  <c:v>0.26157888775625782</c:v>
                </c:pt>
                <c:pt idx="12">
                  <c:v>0.25063526530710722</c:v>
                </c:pt>
                <c:pt idx="13">
                  <c:v>0.24401714202500568</c:v>
                </c:pt>
                <c:pt idx="14">
                  <c:v>0.24061048816400499</c:v>
                </c:pt>
                <c:pt idx="15">
                  <c:v>0.239638124362895</c:v>
                </c:pt>
                <c:pt idx="16">
                  <c:v>0.24054449770554021</c:v>
                </c:pt>
                <c:pt idx="17">
                  <c:v>0.24292395011389234</c:v>
                </c:pt>
                <c:pt idx="18">
                  <c:v>0.24647468098864578</c:v>
                </c:pt>
                <c:pt idx="19">
                  <c:v>0.25096839959225281</c:v>
                </c:pt>
                <c:pt idx="20">
                  <c:v>0.25622984090000256</c:v>
                </c:pt>
                <c:pt idx="21">
                  <c:v>0.26212264429111803</c:v>
                </c:pt>
                <c:pt idx="22">
                  <c:v>0.26853943258393409</c:v>
                </c:pt>
                <c:pt idx="23">
                  <c:v>0.2753947219390645</c:v>
                </c:pt>
                <c:pt idx="24">
                  <c:v>0.28261977573904185</c:v>
                </c:pt>
                <c:pt idx="25">
                  <c:v>0.29015881632677687</c:v>
                </c:pt>
                <c:pt idx="26">
                  <c:v>0.29796620005061891</c:v>
                </c:pt>
                <c:pt idx="27">
                  <c:v>0.30600428550625147</c:v>
                </c:pt>
                <c:pt idx="28">
                  <c:v>0.31424180717824163</c:v>
                </c:pt>
                <c:pt idx="29">
                  <c:v>0.32265262204100131</c:v>
                </c:pt>
                <c:pt idx="30">
                  <c:v>0.33121473448168698</c:v>
                </c:pt>
                <c:pt idx="31">
                  <c:v>0.33990953109072386</c:v>
                </c:pt>
                <c:pt idx="32">
                  <c:v>0.34872117524049701</c:v>
                </c:pt>
                <c:pt idx="33">
                  <c:v>0.35763612442638515</c:v>
                </c:pt>
                <c:pt idx="34">
                  <c:v>0.36664274272400105</c:v>
                </c:pt>
                <c:pt idx="35">
                  <c:v>0.37573098752847323</c:v>
                </c:pt>
                <c:pt idx="36">
                  <c:v>0.3848921547384232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A92-4EC6-85C7-3E3B5C091356}"/>
            </c:ext>
          </c:extLst>
        </c:ser>
        <c:ser>
          <c:idx val="0"/>
          <c:order val="1"/>
          <c:tx>
            <c:v>Q2</c:v>
          </c:tx>
          <c:spPr>
            <a:ln>
              <a:prstDash val="sysDash"/>
            </a:ln>
          </c:spPr>
          <c:marker>
            <c:symbol val="none"/>
          </c:marker>
          <c:xVal>
            <c:numRef>
              <c:f>' H(h) N(h)'!$C$6:$C$42</c:f>
              <c:numCache>
                <c:formatCode>0.000</c:formatCode>
                <c:ptCount val="37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6.0000000000000005E-2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9.9999999999999992E-2</c:v>
                </c:pt>
                <c:pt idx="10">
                  <c:v>0.10999999999999999</c:v>
                </c:pt>
                <c:pt idx="11">
                  <c:v>0.11999999999999998</c:v>
                </c:pt>
                <c:pt idx="12">
                  <c:v>0.12999999999999998</c:v>
                </c:pt>
                <c:pt idx="13">
                  <c:v>0.13999999999999999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0.18000000000000002</c:v>
                </c:pt>
                <c:pt idx="18">
                  <c:v>0.19000000000000003</c:v>
                </c:pt>
                <c:pt idx="19">
                  <c:v>0.20000000000000004</c:v>
                </c:pt>
                <c:pt idx="20">
                  <c:v>0.21000000000000005</c:v>
                </c:pt>
                <c:pt idx="21">
                  <c:v>0.22000000000000006</c:v>
                </c:pt>
                <c:pt idx="22">
                  <c:v>0.23000000000000007</c:v>
                </c:pt>
                <c:pt idx="23">
                  <c:v>0.24000000000000007</c:v>
                </c:pt>
                <c:pt idx="24">
                  <c:v>0.25000000000000006</c:v>
                </c:pt>
                <c:pt idx="25">
                  <c:v>0.26000000000000006</c:v>
                </c:pt>
                <c:pt idx="26">
                  <c:v>0.27000000000000007</c:v>
                </c:pt>
                <c:pt idx="27">
                  <c:v>0.28000000000000008</c:v>
                </c:pt>
                <c:pt idx="28">
                  <c:v>0.29000000000000009</c:v>
                </c:pt>
                <c:pt idx="29">
                  <c:v>0.3000000000000001</c:v>
                </c:pt>
                <c:pt idx="30">
                  <c:v>0.31000000000000011</c:v>
                </c:pt>
                <c:pt idx="31">
                  <c:v>0.32000000000000012</c:v>
                </c:pt>
                <c:pt idx="32">
                  <c:v>0.33000000000000013</c:v>
                </c:pt>
                <c:pt idx="33">
                  <c:v>0.34000000000000014</c:v>
                </c:pt>
                <c:pt idx="34">
                  <c:v>0.35000000000000014</c:v>
                </c:pt>
                <c:pt idx="35">
                  <c:v>0.36000000000000015</c:v>
                </c:pt>
                <c:pt idx="36">
                  <c:v>0.37000000000000016</c:v>
                </c:pt>
              </c:numCache>
            </c:numRef>
          </c:xVal>
          <c:yVal>
            <c:numRef>
              <c:f>' H(h) N(h)'!$O$6:$O$42</c:f>
              <c:numCache>
                <c:formatCode>0.00</c:formatCode>
                <c:ptCount val="37"/>
                <c:pt idx="0">
                  <c:v>81.559439347604481</c:v>
                </c:pt>
                <c:pt idx="1">
                  <c:v>20.407359836901119</c:v>
                </c:pt>
                <c:pt idx="2">
                  <c:v>9.0910488164004981</c:v>
                </c:pt>
                <c:pt idx="3">
                  <c:v>5.1368399592252798</c:v>
                </c:pt>
                <c:pt idx="4">
                  <c:v>3.311977573904179</c:v>
                </c:pt>
                <c:pt idx="5">
                  <c:v>2.3252622041001243</c:v>
                </c:pt>
                <c:pt idx="6">
                  <c:v>1.7342742724000912</c:v>
                </c:pt>
                <c:pt idx="7">
                  <c:v>1.35420998980632</c:v>
                </c:pt>
                <c:pt idx="8">
                  <c:v>1.0967832018222778</c:v>
                </c:pt>
                <c:pt idx="9">
                  <c:v>0.91549439347604478</c:v>
                </c:pt>
                <c:pt idx="10">
                  <c:v>0.78396230865788841</c:v>
                </c:pt>
                <c:pt idx="11">
                  <c:v>0.68631555102503128</c:v>
                </c:pt>
                <c:pt idx="12">
                  <c:v>0.61254106122842911</c:v>
                </c:pt>
                <c:pt idx="13">
                  <c:v>0.55606856810002281</c:v>
                </c:pt>
                <c:pt idx="14">
                  <c:v>0.51244195265601988</c:v>
                </c:pt>
                <c:pt idx="15">
                  <c:v>0.47855249745158002</c:v>
                </c:pt>
                <c:pt idx="16">
                  <c:v>0.45217799082216081</c:v>
                </c:pt>
                <c:pt idx="17">
                  <c:v>0.43169580045556932</c:v>
                </c:pt>
                <c:pt idx="18">
                  <c:v>0.41589872395458294</c:v>
                </c:pt>
                <c:pt idx="19">
                  <c:v>0.40387359836901116</c:v>
                </c:pt>
                <c:pt idx="20">
                  <c:v>0.39491936360001012</c:v>
                </c:pt>
                <c:pt idx="21">
                  <c:v>0.38849057716447205</c:v>
                </c:pt>
                <c:pt idx="22">
                  <c:v>0.38415773033573625</c:v>
                </c:pt>
                <c:pt idx="23">
                  <c:v>0.38157888775625776</c:v>
                </c:pt>
                <c:pt idx="24">
                  <c:v>0.38047910295616716</c:v>
                </c:pt>
                <c:pt idx="25">
                  <c:v>0.38063526530710723</c:v>
                </c:pt>
                <c:pt idx="26">
                  <c:v>0.38186480020247532</c:v>
                </c:pt>
                <c:pt idx="27">
                  <c:v>0.3840171420250057</c:v>
                </c:pt>
                <c:pt idx="28">
                  <c:v>0.38696722871296613</c:v>
                </c:pt>
                <c:pt idx="29">
                  <c:v>0.39061048816400501</c:v>
                </c:pt>
                <c:pt idx="30">
                  <c:v>0.3948589379267477</c:v>
                </c:pt>
                <c:pt idx="31">
                  <c:v>0.39963812436289503</c:v>
                </c:pt>
                <c:pt idx="32">
                  <c:v>0.40488470096198764</c:v>
                </c:pt>
                <c:pt idx="33">
                  <c:v>0.4105444977055403</c:v>
                </c:pt>
                <c:pt idx="34">
                  <c:v>0.41657097089600376</c:v>
                </c:pt>
                <c:pt idx="35">
                  <c:v>0.42292395011389244</c:v>
                </c:pt>
                <c:pt idx="36">
                  <c:v>0.42956861895369225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A92-4EC6-85C7-3E3B5C091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064248"/>
        <c:axId val="188086048"/>
      </c:scatterChart>
      <c:valAx>
        <c:axId val="186064248"/>
        <c:scaling>
          <c:orientation val="minMax"/>
          <c:max val="0.5"/>
        </c:scaling>
        <c:delete val="0"/>
        <c:axPos val="b"/>
        <c:numFmt formatCode="0.0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8086048"/>
        <c:crosses val="autoZero"/>
        <c:crossBetween val="midCat"/>
      </c:valAx>
      <c:valAx>
        <c:axId val="188086048"/>
        <c:scaling>
          <c:orientation val="minMax"/>
          <c:max val="2"/>
          <c:min val="0"/>
        </c:scaling>
        <c:delete val="0"/>
        <c:axPos val="l"/>
        <c:majorGridlines/>
        <c:numFmt formatCode="#,##0.00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60642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436734986290485"/>
          <c:y val="0.44782654342120276"/>
          <c:w val="0.13647668731234897"/>
          <c:h val="0.10434782608695647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14533183352081"/>
          <c:y val="3.7957332256544858E-2"/>
          <c:w val="0.71064746906636667"/>
          <c:h val="0.87639598896291815"/>
        </c:manualLayout>
      </c:layout>
      <c:scatterChart>
        <c:scatterStyle val="smoothMarker"/>
        <c:varyColors val="0"/>
        <c:ser>
          <c:idx val="0"/>
          <c:order val="0"/>
          <c:tx>
            <c:v>Q2</c:v>
          </c:tx>
          <c:spPr>
            <a:ln w="19050">
              <a:prstDash val="sysDash"/>
            </a:ln>
          </c:spPr>
          <c:marker>
            <c:symbol val="none"/>
          </c:marker>
          <c:xVal>
            <c:numRef>
              <c:f>' H(h) N(h)'!$C$6:$C$70</c:f>
              <c:numCache>
                <c:formatCode>0.000</c:formatCode>
                <c:ptCount val="65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6.0000000000000005E-2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9.9999999999999992E-2</c:v>
                </c:pt>
                <c:pt idx="10">
                  <c:v>0.10999999999999999</c:v>
                </c:pt>
                <c:pt idx="11">
                  <c:v>0.11999999999999998</c:v>
                </c:pt>
                <c:pt idx="12">
                  <c:v>0.12999999999999998</c:v>
                </c:pt>
                <c:pt idx="13">
                  <c:v>0.13999999999999999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0.18000000000000002</c:v>
                </c:pt>
                <c:pt idx="18">
                  <c:v>0.19000000000000003</c:v>
                </c:pt>
                <c:pt idx="19">
                  <c:v>0.20000000000000004</c:v>
                </c:pt>
                <c:pt idx="20">
                  <c:v>0.21000000000000005</c:v>
                </c:pt>
                <c:pt idx="21">
                  <c:v>0.22000000000000006</c:v>
                </c:pt>
                <c:pt idx="22">
                  <c:v>0.23000000000000007</c:v>
                </c:pt>
                <c:pt idx="23">
                  <c:v>0.24000000000000007</c:v>
                </c:pt>
                <c:pt idx="24">
                  <c:v>0.25000000000000006</c:v>
                </c:pt>
                <c:pt idx="25">
                  <c:v>0.26000000000000006</c:v>
                </c:pt>
                <c:pt idx="26">
                  <c:v>0.27000000000000007</c:v>
                </c:pt>
                <c:pt idx="27">
                  <c:v>0.28000000000000008</c:v>
                </c:pt>
                <c:pt idx="28">
                  <c:v>0.29000000000000009</c:v>
                </c:pt>
                <c:pt idx="29">
                  <c:v>0.3000000000000001</c:v>
                </c:pt>
                <c:pt idx="30">
                  <c:v>0.31000000000000011</c:v>
                </c:pt>
                <c:pt idx="31">
                  <c:v>0.32000000000000012</c:v>
                </c:pt>
                <c:pt idx="32">
                  <c:v>0.33000000000000013</c:v>
                </c:pt>
                <c:pt idx="33">
                  <c:v>0.34000000000000014</c:v>
                </c:pt>
                <c:pt idx="34">
                  <c:v>0.35000000000000014</c:v>
                </c:pt>
                <c:pt idx="35">
                  <c:v>0.36000000000000015</c:v>
                </c:pt>
                <c:pt idx="36">
                  <c:v>0.37000000000000016</c:v>
                </c:pt>
                <c:pt idx="37" formatCode="General">
                  <c:v>0.38000000000000017</c:v>
                </c:pt>
                <c:pt idx="38" formatCode="General">
                  <c:v>0.39000000000000018</c:v>
                </c:pt>
                <c:pt idx="39" formatCode="General">
                  <c:v>0.40000000000000019</c:v>
                </c:pt>
                <c:pt idx="40" formatCode="General">
                  <c:v>0.4100000000000002</c:v>
                </c:pt>
                <c:pt idx="41" formatCode="General">
                  <c:v>0.42000000000000021</c:v>
                </c:pt>
                <c:pt idx="42" formatCode="General">
                  <c:v>0.43000000000000022</c:v>
                </c:pt>
                <c:pt idx="43" formatCode="General">
                  <c:v>0.44000000000000022</c:v>
                </c:pt>
                <c:pt idx="44" formatCode="General">
                  <c:v>0.45000000000000023</c:v>
                </c:pt>
                <c:pt idx="45" formatCode="General">
                  <c:v>0.46000000000000024</c:v>
                </c:pt>
                <c:pt idx="46" formatCode="General">
                  <c:v>0.47000000000000025</c:v>
                </c:pt>
                <c:pt idx="47" formatCode="General">
                  <c:v>0.48000000000000026</c:v>
                </c:pt>
                <c:pt idx="48" formatCode="General">
                  <c:v>0.49000000000000027</c:v>
                </c:pt>
                <c:pt idx="49" formatCode="General">
                  <c:v>0.50000000000000022</c:v>
                </c:pt>
                <c:pt idx="50" formatCode="General">
                  <c:v>0.51000000000000023</c:v>
                </c:pt>
                <c:pt idx="51" formatCode="General">
                  <c:v>0.52000000000000024</c:v>
                </c:pt>
                <c:pt idx="52" formatCode="General">
                  <c:v>0.53000000000000025</c:v>
                </c:pt>
                <c:pt idx="53" formatCode="General">
                  <c:v>0.54000000000000026</c:v>
                </c:pt>
                <c:pt idx="54" formatCode="General">
                  <c:v>0.55000000000000027</c:v>
                </c:pt>
                <c:pt idx="55" formatCode="General">
                  <c:v>0.56000000000000028</c:v>
                </c:pt>
                <c:pt idx="56" formatCode="General">
                  <c:v>0.57000000000000028</c:v>
                </c:pt>
                <c:pt idx="57" formatCode="General">
                  <c:v>0.58000000000000029</c:v>
                </c:pt>
                <c:pt idx="58" formatCode="General">
                  <c:v>0.5900000000000003</c:v>
                </c:pt>
                <c:pt idx="59" formatCode="General">
                  <c:v>0.60000000000000031</c:v>
                </c:pt>
                <c:pt idx="60" formatCode="General">
                  <c:v>0.61000000000000032</c:v>
                </c:pt>
                <c:pt idx="61" formatCode="General">
                  <c:v>0.62000000000000033</c:v>
                </c:pt>
                <c:pt idx="62" formatCode="General">
                  <c:v>0.63000000000000034</c:v>
                </c:pt>
                <c:pt idx="63" formatCode="General">
                  <c:v>0.64000000000000035</c:v>
                </c:pt>
                <c:pt idx="64" formatCode="General">
                  <c:v>0.65000000000000036</c:v>
                </c:pt>
              </c:numCache>
            </c:numRef>
          </c:xVal>
          <c:yVal>
            <c:numRef>
              <c:f>' H(h) N(h)'!$AG$6:$AG$70</c:f>
              <c:numCache>
                <c:formatCode>General</c:formatCode>
                <c:ptCount val="65"/>
                <c:pt idx="0">
                  <c:v>80002.452499999999</c:v>
                </c:pt>
                <c:pt idx="1">
                  <c:v>40009.81</c:v>
                </c:pt>
                <c:pt idx="2">
                  <c:v>26688.73916666667</c:v>
                </c:pt>
                <c:pt idx="3">
                  <c:v>20039.240000000002</c:v>
                </c:pt>
                <c:pt idx="4">
                  <c:v>16061.3125</c:v>
                </c:pt>
                <c:pt idx="5">
                  <c:v>13421.623333333335</c:v>
                </c:pt>
                <c:pt idx="6">
                  <c:v>11548.743928571428</c:v>
                </c:pt>
                <c:pt idx="7">
                  <c:v>10156.959999999999</c:v>
                </c:pt>
                <c:pt idx="8">
                  <c:v>9087.5413888888907</c:v>
                </c:pt>
                <c:pt idx="9">
                  <c:v>8245.2499999999982</c:v>
                </c:pt>
                <c:pt idx="10">
                  <c:v>7569.4797727272726</c:v>
                </c:pt>
                <c:pt idx="11">
                  <c:v>7019.8266666666677</c:v>
                </c:pt>
                <c:pt idx="12">
                  <c:v>6568.318653846155</c:v>
                </c:pt>
                <c:pt idx="13">
                  <c:v>6194.9757142857134</c:v>
                </c:pt>
                <c:pt idx="14">
                  <c:v>5885.145833333333</c:v>
                </c:pt>
                <c:pt idx="15">
                  <c:v>5627.84</c:v>
                </c:pt>
                <c:pt idx="16">
                  <c:v>5414.6548529411757</c:v>
                </c:pt>
                <c:pt idx="17">
                  <c:v>5239.0544444444449</c:v>
                </c:pt>
                <c:pt idx="18">
                  <c:v>5095.8788157894724</c:v>
                </c:pt>
                <c:pt idx="19">
                  <c:v>4981</c:v>
                </c:pt>
                <c:pt idx="20">
                  <c:v>4891.076309523809</c:v>
                </c:pt>
                <c:pt idx="21">
                  <c:v>4823.3736363636363</c:v>
                </c:pt>
                <c:pt idx="22">
                  <c:v>4775.6333695652174</c:v>
                </c:pt>
                <c:pt idx="23">
                  <c:v>4745.9733333333334</c:v>
                </c:pt>
                <c:pt idx="24">
                  <c:v>4732.8125</c:v>
                </c:pt>
                <c:pt idx="25">
                  <c:v>4734.8130769230766</c:v>
                </c:pt>
                <c:pt idx="26">
                  <c:v>4750.835462962963</c:v>
                </c:pt>
                <c:pt idx="27">
                  <c:v>4779.9028571428571</c:v>
                </c:pt>
                <c:pt idx="28">
                  <c:v>4821.1731896551737</c:v>
                </c:pt>
                <c:pt idx="29">
                  <c:v>4873.9166666666679</c:v>
                </c:pt>
                <c:pt idx="30">
                  <c:v>4937.4976612903229</c:v>
                </c:pt>
                <c:pt idx="31">
                  <c:v>5011.3600000000006</c:v>
                </c:pt>
                <c:pt idx="32">
                  <c:v>5095.014924242425</c:v>
                </c:pt>
                <c:pt idx="33">
                  <c:v>5188.0311764705903</c:v>
                </c:pt>
                <c:pt idx="34">
                  <c:v>5290.0267857142871</c:v>
                </c:pt>
                <c:pt idx="35">
                  <c:v>5400.662222222224</c:v>
                </c:pt>
                <c:pt idx="36">
                  <c:v>5519.6346621621651</c:v>
                </c:pt>
                <c:pt idx="37">
                  <c:v>5646.6731578947392</c:v>
                </c:pt>
                <c:pt idx="38">
                  <c:v>5781.5345512820531</c:v>
                </c:pt>
                <c:pt idx="39">
                  <c:v>5924.0000000000036</c:v>
                </c:pt>
                <c:pt idx="40">
                  <c:v>6073.8720121951246</c:v>
                </c:pt>
                <c:pt idx="41">
                  <c:v>6230.9719047619083</c:v>
                </c:pt>
                <c:pt idx="42">
                  <c:v>6395.1376162790739</c:v>
                </c:pt>
                <c:pt idx="43">
                  <c:v>6566.2218181818216</c:v>
                </c:pt>
                <c:pt idx="44">
                  <c:v>6744.090277777781</c:v>
                </c:pt>
                <c:pt idx="45">
                  <c:v>6928.6204347826133</c:v>
                </c:pt>
                <c:pt idx="46">
                  <c:v>7119.7001595744741</c:v>
                </c:pt>
                <c:pt idx="47">
                  <c:v>7317.2266666666728</c:v>
                </c:pt>
                <c:pt idx="48">
                  <c:v>7521.1055612244963</c:v>
                </c:pt>
                <c:pt idx="49">
                  <c:v>7731.2500000000036</c:v>
                </c:pt>
                <c:pt idx="50">
                  <c:v>7947.5799509803974</c:v>
                </c:pt>
                <c:pt idx="51">
                  <c:v>8170.021538461544</c:v>
                </c:pt>
                <c:pt idx="52">
                  <c:v>8398.5064622641567</c:v>
                </c:pt>
                <c:pt idx="53">
                  <c:v>8632.971481481487</c:v>
                </c:pt>
                <c:pt idx="54">
                  <c:v>8873.3579545454613</c:v>
                </c:pt>
                <c:pt idx="55">
                  <c:v>9119.6114285714357</c:v>
                </c:pt>
                <c:pt idx="56">
                  <c:v>9371.6812719298323</c:v>
                </c:pt>
                <c:pt idx="57">
                  <c:v>9629.5203448275934</c:v>
                </c:pt>
                <c:pt idx="58">
                  <c:v>9893.084703389839</c:v>
                </c:pt>
                <c:pt idx="59">
                  <c:v>10162.333333333343</c:v>
                </c:pt>
                <c:pt idx="60">
                  <c:v>10437.227909836074</c:v>
                </c:pt>
                <c:pt idx="61">
                  <c:v>10717.73258064517</c:v>
                </c:pt>
                <c:pt idx="62">
                  <c:v>11003.813769841279</c:v>
                </c:pt>
                <c:pt idx="63">
                  <c:v>11295.440000000013</c:v>
                </c:pt>
                <c:pt idx="64">
                  <c:v>11592.581730769241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253-4B56-B0CD-602D2E863B9D}"/>
            </c:ext>
          </c:extLst>
        </c:ser>
        <c:ser>
          <c:idx val="1"/>
          <c:order val="1"/>
          <c:tx>
            <c:v>Q1</c:v>
          </c:tx>
          <c:spPr>
            <a:ln w="19050"/>
          </c:spPr>
          <c:marker>
            <c:symbol val="none"/>
          </c:marker>
          <c:xVal>
            <c:numRef>
              <c:f>' H(h) N(h)'!$C$6:$C$70</c:f>
              <c:numCache>
                <c:formatCode>0.000</c:formatCode>
                <c:ptCount val="65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6.0000000000000005E-2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9.9999999999999992E-2</c:v>
                </c:pt>
                <c:pt idx="10">
                  <c:v>0.10999999999999999</c:v>
                </c:pt>
                <c:pt idx="11">
                  <c:v>0.11999999999999998</c:v>
                </c:pt>
                <c:pt idx="12">
                  <c:v>0.12999999999999998</c:v>
                </c:pt>
                <c:pt idx="13">
                  <c:v>0.13999999999999999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0.18000000000000002</c:v>
                </c:pt>
                <c:pt idx="18">
                  <c:v>0.19000000000000003</c:v>
                </c:pt>
                <c:pt idx="19">
                  <c:v>0.20000000000000004</c:v>
                </c:pt>
                <c:pt idx="20">
                  <c:v>0.21000000000000005</c:v>
                </c:pt>
                <c:pt idx="21">
                  <c:v>0.22000000000000006</c:v>
                </c:pt>
                <c:pt idx="22">
                  <c:v>0.23000000000000007</c:v>
                </c:pt>
                <c:pt idx="23">
                  <c:v>0.24000000000000007</c:v>
                </c:pt>
                <c:pt idx="24">
                  <c:v>0.25000000000000006</c:v>
                </c:pt>
                <c:pt idx="25">
                  <c:v>0.26000000000000006</c:v>
                </c:pt>
                <c:pt idx="26">
                  <c:v>0.27000000000000007</c:v>
                </c:pt>
                <c:pt idx="27">
                  <c:v>0.28000000000000008</c:v>
                </c:pt>
                <c:pt idx="28">
                  <c:v>0.29000000000000009</c:v>
                </c:pt>
                <c:pt idx="29">
                  <c:v>0.3000000000000001</c:v>
                </c:pt>
                <c:pt idx="30">
                  <c:v>0.31000000000000011</c:v>
                </c:pt>
                <c:pt idx="31">
                  <c:v>0.32000000000000012</c:v>
                </c:pt>
                <c:pt idx="32">
                  <c:v>0.33000000000000013</c:v>
                </c:pt>
                <c:pt idx="33">
                  <c:v>0.34000000000000014</c:v>
                </c:pt>
                <c:pt idx="34">
                  <c:v>0.35000000000000014</c:v>
                </c:pt>
                <c:pt idx="35">
                  <c:v>0.36000000000000015</c:v>
                </c:pt>
                <c:pt idx="36">
                  <c:v>0.37000000000000016</c:v>
                </c:pt>
                <c:pt idx="37" formatCode="General">
                  <c:v>0.38000000000000017</c:v>
                </c:pt>
                <c:pt idx="38" formatCode="General">
                  <c:v>0.39000000000000018</c:v>
                </c:pt>
                <c:pt idx="39" formatCode="General">
                  <c:v>0.40000000000000019</c:v>
                </c:pt>
                <c:pt idx="40" formatCode="General">
                  <c:v>0.4100000000000002</c:v>
                </c:pt>
                <c:pt idx="41" formatCode="General">
                  <c:v>0.42000000000000021</c:v>
                </c:pt>
                <c:pt idx="42" formatCode="General">
                  <c:v>0.43000000000000022</c:v>
                </c:pt>
                <c:pt idx="43" formatCode="General">
                  <c:v>0.44000000000000022</c:v>
                </c:pt>
                <c:pt idx="44" formatCode="General">
                  <c:v>0.45000000000000023</c:v>
                </c:pt>
                <c:pt idx="45" formatCode="General">
                  <c:v>0.46000000000000024</c:v>
                </c:pt>
                <c:pt idx="46" formatCode="General">
                  <c:v>0.47000000000000025</c:v>
                </c:pt>
                <c:pt idx="47" formatCode="General">
                  <c:v>0.48000000000000026</c:v>
                </c:pt>
                <c:pt idx="48" formatCode="General">
                  <c:v>0.49000000000000027</c:v>
                </c:pt>
                <c:pt idx="49" formatCode="General">
                  <c:v>0.50000000000000022</c:v>
                </c:pt>
                <c:pt idx="50" formatCode="General">
                  <c:v>0.51000000000000023</c:v>
                </c:pt>
                <c:pt idx="51" formatCode="General">
                  <c:v>0.52000000000000024</c:v>
                </c:pt>
                <c:pt idx="52" formatCode="General">
                  <c:v>0.53000000000000025</c:v>
                </c:pt>
                <c:pt idx="53" formatCode="General">
                  <c:v>0.54000000000000026</c:v>
                </c:pt>
                <c:pt idx="54" formatCode="General">
                  <c:v>0.55000000000000027</c:v>
                </c:pt>
                <c:pt idx="55" formatCode="General">
                  <c:v>0.56000000000000028</c:v>
                </c:pt>
                <c:pt idx="56" formatCode="General">
                  <c:v>0.57000000000000028</c:v>
                </c:pt>
                <c:pt idx="57" formatCode="General">
                  <c:v>0.58000000000000029</c:v>
                </c:pt>
                <c:pt idx="58" formatCode="General">
                  <c:v>0.5900000000000003</c:v>
                </c:pt>
                <c:pt idx="59" formatCode="General">
                  <c:v>0.60000000000000031</c:v>
                </c:pt>
                <c:pt idx="60" formatCode="General">
                  <c:v>0.61000000000000032</c:v>
                </c:pt>
                <c:pt idx="61" formatCode="General">
                  <c:v>0.62000000000000033</c:v>
                </c:pt>
                <c:pt idx="62" formatCode="General">
                  <c:v>0.63000000000000034</c:v>
                </c:pt>
                <c:pt idx="63" formatCode="General">
                  <c:v>0.64000000000000035</c:v>
                </c:pt>
                <c:pt idx="64" formatCode="General">
                  <c:v>0.65000000000000036</c:v>
                </c:pt>
              </c:numCache>
            </c:numRef>
          </c:xVal>
          <c:yVal>
            <c:numRef>
              <c:f>' H(h) N(h)'!$X$6:$X$70</c:f>
              <c:numCache>
                <c:formatCode>0.0</c:formatCode>
                <c:ptCount val="65"/>
                <c:pt idx="0">
                  <c:v>20002.452499999999</c:v>
                </c:pt>
                <c:pt idx="1">
                  <c:v>10009.81</c:v>
                </c:pt>
                <c:pt idx="2">
                  <c:v>6688.7391666666681</c:v>
                </c:pt>
                <c:pt idx="3">
                  <c:v>5039.24</c:v>
                </c:pt>
                <c:pt idx="4">
                  <c:v>4061.3125</c:v>
                </c:pt>
                <c:pt idx="5">
                  <c:v>3421.6233333333334</c:v>
                </c:pt>
                <c:pt idx="6">
                  <c:v>2977.315357142857</c:v>
                </c:pt>
                <c:pt idx="7">
                  <c:v>2656.96</c:v>
                </c:pt>
                <c:pt idx="8">
                  <c:v>2420.8747222222228</c:v>
                </c:pt>
                <c:pt idx="9">
                  <c:v>2245.2499999999995</c:v>
                </c:pt>
                <c:pt idx="10">
                  <c:v>2114.9343181818181</c:v>
                </c:pt>
                <c:pt idx="11">
                  <c:v>2019.8266666666668</c:v>
                </c:pt>
                <c:pt idx="12">
                  <c:v>1952.9340384615386</c:v>
                </c:pt>
                <c:pt idx="13">
                  <c:v>1909.2614285714285</c:v>
                </c:pt>
                <c:pt idx="14">
                  <c:v>1885.1458333333333</c:v>
                </c:pt>
                <c:pt idx="15">
                  <c:v>1877.8400000000001</c:v>
                </c:pt>
                <c:pt idx="16">
                  <c:v>1885.2430882352942</c:v>
                </c:pt>
                <c:pt idx="17">
                  <c:v>1905.7211111111114</c:v>
                </c:pt>
                <c:pt idx="18">
                  <c:v>1937.9840789473683</c:v>
                </c:pt>
                <c:pt idx="19">
                  <c:v>1981.0000000000002</c:v>
                </c:pt>
                <c:pt idx="20">
                  <c:v>2033.933452380953</c:v>
                </c:pt>
                <c:pt idx="21">
                  <c:v>2096.1009090909097</c:v>
                </c:pt>
                <c:pt idx="22">
                  <c:v>2166.9377173913049</c:v>
                </c:pt>
                <c:pt idx="23">
                  <c:v>2245.9733333333343</c:v>
                </c:pt>
                <c:pt idx="24">
                  <c:v>2332.8125</c:v>
                </c:pt>
                <c:pt idx="25">
                  <c:v>2427.1207692307698</c:v>
                </c:pt>
                <c:pt idx="26">
                  <c:v>2528.6132407407413</c:v>
                </c:pt>
                <c:pt idx="27">
                  <c:v>2637.0457142857149</c:v>
                </c:pt>
                <c:pt idx="28">
                  <c:v>2752.2076724137942</c:v>
                </c:pt>
                <c:pt idx="29">
                  <c:v>2873.9166666666679</c:v>
                </c:pt>
                <c:pt idx="30">
                  <c:v>3002.0137903225818</c:v>
                </c:pt>
                <c:pt idx="31">
                  <c:v>3136.3600000000015</c:v>
                </c:pt>
                <c:pt idx="32">
                  <c:v>3276.8331060606079</c:v>
                </c:pt>
                <c:pt idx="33">
                  <c:v>3423.3252941176497</c:v>
                </c:pt>
                <c:pt idx="34">
                  <c:v>3575.7410714285738</c:v>
                </c:pt>
                <c:pt idx="35">
                  <c:v>3733.995555555558</c:v>
                </c:pt>
                <c:pt idx="36">
                  <c:v>3898.0130405405439</c:v>
                </c:pt>
                <c:pt idx="37">
                  <c:v>4067.7257894736877</c:v>
                </c:pt>
                <c:pt idx="38">
                  <c:v>4243.0730128205159</c:v>
                </c:pt>
                <c:pt idx="39">
                  <c:v>4424.0000000000036</c:v>
                </c:pt>
                <c:pt idx="40">
                  <c:v>4610.4573780487844</c:v>
                </c:pt>
                <c:pt idx="41">
                  <c:v>4802.4004761904807</c:v>
                </c:pt>
                <c:pt idx="42">
                  <c:v>4999.7887790697723</c:v>
                </c:pt>
                <c:pt idx="43">
                  <c:v>5202.5854545454586</c:v>
                </c:pt>
                <c:pt idx="44">
                  <c:v>5410.7569444444489</c:v>
                </c:pt>
                <c:pt idx="45">
                  <c:v>5624.2726086956573</c:v>
                </c:pt>
                <c:pt idx="46">
                  <c:v>5843.1044148936244</c:v>
                </c:pt>
                <c:pt idx="47">
                  <c:v>6067.2266666666728</c:v>
                </c:pt>
                <c:pt idx="48">
                  <c:v>6296.61576530613</c:v>
                </c:pt>
                <c:pt idx="49">
                  <c:v>6531.2500000000045</c:v>
                </c:pt>
                <c:pt idx="50">
                  <c:v>6771.1093627451037</c:v>
                </c:pt>
                <c:pt idx="51">
                  <c:v>7016.1753846153915</c:v>
                </c:pt>
                <c:pt idx="52">
                  <c:v>7266.4309905660448</c:v>
                </c:pt>
                <c:pt idx="53">
                  <c:v>7521.8603703703775</c:v>
                </c:pt>
                <c:pt idx="54">
                  <c:v>7782.4488636363712</c:v>
                </c:pt>
                <c:pt idx="55">
                  <c:v>8048.1828571428659</c:v>
                </c:pt>
                <c:pt idx="56">
                  <c:v>8319.049692982464</c:v>
                </c:pt>
                <c:pt idx="57">
                  <c:v>8595.037586206905</c:v>
                </c:pt>
                <c:pt idx="58">
                  <c:v>8876.1355508474662</c:v>
                </c:pt>
                <c:pt idx="59">
                  <c:v>9162.3333333333449</c:v>
                </c:pt>
                <c:pt idx="60">
                  <c:v>9453.6213524590257</c:v>
                </c:pt>
                <c:pt idx="61">
                  <c:v>9749.9906451612987</c:v>
                </c:pt>
                <c:pt idx="62">
                  <c:v>10051.432817460329</c:v>
                </c:pt>
                <c:pt idx="63">
                  <c:v>10357.940000000013</c:v>
                </c:pt>
                <c:pt idx="64">
                  <c:v>10669.504807692318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253-4B56-B0CD-602D2E863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085656"/>
        <c:axId val="188092320"/>
      </c:scatterChart>
      <c:valAx>
        <c:axId val="188085656"/>
        <c:scaling>
          <c:orientation val="minMax"/>
          <c:max val="0.5"/>
          <c:min val="0"/>
        </c:scaling>
        <c:delete val="0"/>
        <c:axPos val="b"/>
        <c:numFmt formatCode="0.0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8092320"/>
        <c:crosses val="autoZero"/>
        <c:crossBetween val="midCat"/>
      </c:valAx>
      <c:valAx>
        <c:axId val="188092320"/>
        <c:scaling>
          <c:orientation val="minMax"/>
          <c:max val="80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80856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44139650872817954"/>
          <c:y val="0.49246231155778897"/>
          <c:w val="0.16957605985037411"/>
          <c:h val="0.12060301507537685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H(h)</a:t>
            </a:r>
          </a:p>
        </c:rich>
      </c:tx>
      <c:layout>
        <c:manualLayout>
          <c:xMode val="edge"/>
          <c:yMode val="edge"/>
          <c:x val="0.47840608465608458"/>
          <c:y val="2.312138728323699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9548976377952769E-2"/>
          <c:y val="2.9479768786127174E-2"/>
          <c:w val="0.86536385892939849"/>
          <c:h val="0.89319298898568256"/>
        </c:manualLayout>
      </c:layout>
      <c:scatterChart>
        <c:scatterStyle val="smoothMarker"/>
        <c:varyColors val="0"/>
        <c:ser>
          <c:idx val="1"/>
          <c:order val="0"/>
          <c:tx>
            <c:v>Q1</c:v>
          </c:tx>
          <c:marker>
            <c:symbol val="none"/>
          </c:marker>
          <c:xVal>
            <c:numRef>
              <c:f>' H(h) N(h)'!$C$6:$C$70</c:f>
              <c:numCache>
                <c:formatCode>0.000</c:formatCode>
                <c:ptCount val="65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6.0000000000000005E-2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9.9999999999999992E-2</c:v>
                </c:pt>
                <c:pt idx="10">
                  <c:v>0.10999999999999999</c:v>
                </c:pt>
                <c:pt idx="11">
                  <c:v>0.11999999999999998</c:v>
                </c:pt>
                <c:pt idx="12">
                  <c:v>0.12999999999999998</c:v>
                </c:pt>
                <c:pt idx="13">
                  <c:v>0.13999999999999999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0.18000000000000002</c:v>
                </c:pt>
                <c:pt idx="18">
                  <c:v>0.19000000000000003</c:v>
                </c:pt>
                <c:pt idx="19">
                  <c:v>0.20000000000000004</c:v>
                </c:pt>
                <c:pt idx="20">
                  <c:v>0.21000000000000005</c:v>
                </c:pt>
                <c:pt idx="21">
                  <c:v>0.22000000000000006</c:v>
                </c:pt>
                <c:pt idx="22">
                  <c:v>0.23000000000000007</c:v>
                </c:pt>
                <c:pt idx="23">
                  <c:v>0.24000000000000007</c:v>
                </c:pt>
                <c:pt idx="24">
                  <c:v>0.25000000000000006</c:v>
                </c:pt>
                <c:pt idx="25">
                  <c:v>0.26000000000000006</c:v>
                </c:pt>
                <c:pt idx="26">
                  <c:v>0.27000000000000007</c:v>
                </c:pt>
                <c:pt idx="27">
                  <c:v>0.28000000000000008</c:v>
                </c:pt>
                <c:pt idx="28">
                  <c:v>0.29000000000000009</c:v>
                </c:pt>
                <c:pt idx="29">
                  <c:v>0.3000000000000001</c:v>
                </c:pt>
                <c:pt idx="30">
                  <c:v>0.31000000000000011</c:v>
                </c:pt>
                <c:pt idx="31">
                  <c:v>0.32000000000000012</c:v>
                </c:pt>
                <c:pt idx="32">
                  <c:v>0.33000000000000013</c:v>
                </c:pt>
                <c:pt idx="33">
                  <c:v>0.34000000000000014</c:v>
                </c:pt>
                <c:pt idx="34">
                  <c:v>0.35000000000000014</c:v>
                </c:pt>
                <c:pt idx="35">
                  <c:v>0.36000000000000015</c:v>
                </c:pt>
                <c:pt idx="36">
                  <c:v>0.37000000000000016</c:v>
                </c:pt>
                <c:pt idx="37" formatCode="General">
                  <c:v>0.38000000000000017</c:v>
                </c:pt>
                <c:pt idx="38" formatCode="General">
                  <c:v>0.39000000000000018</c:v>
                </c:pt>
                <c:pt idx="39" formatCode="General">
                  <c:v>0.40000000000000019</c:v>
                </c:pt>
                <c:pt idx="40" formatCode="General">
                  <c:v>0.4100000000000002</c:v>
                </c:pt>
                <c:pt idx="41" formatCode="General">
                  <c:v>0.42000000000000021</c:v>
                </c:pt>
                <c:pt idx="42" formatCode="General">
                  <c:v>0.43000000000000022</c:v>
                </c:pt>
                <c:pt idx="43" formatCode="General">
                  <c:v>0.44000000000000022</c:v>
                </c:pt>
                <c:pt idx="44" formatCode="General">
                  <c:v>0.45000000000000023</c:v>
                </c:pt>
                <c:pt idx="45" formatCode="General">
                  <c:v>0.46000000000000024</c:v>
                </c:pt>
                <c:pt idx="46" formatCode="General">
                  <c:v>0.47000000000000025</c:v>
                </c:pt>
                <c:pt idx="47" formatCode="General">
                  <c:v>0.48000000000000026</c:v>
                </c:pt>
                <c:pt idx="48" formatCode="General">
                  <c:v>0.49000000000000027</c:v>
                </c:pt>
                <c:pt idx="49" formatCode="General">
                  <c:v>0.50000000000000022</c:v>
                </c:pt>
                <c:pt idx="50" formatCode="General">
                  <c:v>0.51000000000000023</c:v>
                </c:pt>
                <c:pt idx="51" formatCode="General">
                  <c:v>0.52000000000000024</c:v>
                </c:pt>
                <c:pt idx="52" formatCode="General">
                  <c:v>0.53000000000000025</c:v>
                </c:pt>
                <c:pt idx="53" formatCode="General">
                  <c:v>0.54000000000000026</c:v>
                </c:pt>
                <c:pt idx="54" formatCode="General">
                  <c:v>0.55000000000000027</c:v>
                </c:pt>
                <c:pt idx="55" formatCode="General">
                  <c:v>0.56000000000000028</c:v>
                </c:pt>
                <c:pt idx="56" formatCode="General">
                  <c:v>0.57000000000000028</c:v>
                </c:pt>
                <c:pt idx="57" formatCode="General">
                  <c:v>0.58000000000000029</c:v>
                </c:pt>
                <c:pt idx="58" formatCode="General">
                  <c:v>0.5900000000000003</c:v>
                </c:pt>
                <c:pt idx="59" formatCode="General">
                  <c:v>0.60000000000000031</c:v>
                </c:pt>
                <c:pt idx="60" formatCode="General">
                  <c:v>0.61000000000000032</c:v>
                </c:pt>
                <c:pt idx="61" formatCode="General">
                  <c:v>0.62000000000000033</c:v>
                </c:pt>
                <c:pt idx="62" formatCode="General">
                  <c:v>0.63000000000000034</c:v>
                </c:pt>
                <c:pt idx="63" formatCode="General">
                  <c:v>0.64000000000000035</c:v>
                </c:pt>
                <c:pt idx="64" formatCode="General">
                  <c:v>0.65000000000000036</c:v>
                </c:pt>
              </c:numCache>
            </c:numRef>
          </c:xVal>
          <c:yVal>
            <c:numRef>
              <c:f>' H(h) N(h)'!$H$6:$H$70</c:f>
              <c:numCache>
                <c:formatCode>0.000</c:formatCode>
                <c:ptCount val="65"/>
                <c:pt idx="0">
                  <c:v>20.397359836901121</c:v>
                </c:pt>
                <c:pt idx="1">
                  <c:v>5.1168399592252793</c:v>
                </c:pt>
                <c:pt idx="2">
                  <c:v>2.2952622041001245</c:v>
                </c:pt>
                <c:pt idx="3">
                  <c:v>1.31420998980632</c:v>
                </c:pt>
                <c:pt idx="4">
                  <c:v>0.86549439347604484</c:v>
                </c:pt>
                <c:pt idx="5">
                  <c:v>0.62631555102503111</c:v>
                </c:pt>
                <c:pt idx="6">
                  <c:v>0.4860685681000228</c:v>
                </c:pt>
                <c:pt idx="7">
                  <c:v>0.39855249745158</c:v>
                </c:pt>
                <c:pt idx="8">
                  <c:v>0.34169580045556947</c:v>
                </c:pt>
                <c:pt idx="9">
                  <c:v>0.30387359836901118</c:v>
                </c:pt>
                <c:pt idx="10">
                  <c:v>0.27849057716447212</c:v>
                </c:pt>
                <c:pt idx="11">
                  <c:v>0.26157888775625782</c:v>
                </c:pt>
                <c:pt idx="12">
                  <c:v>0.25063526530710722</c:v>
                </c:pt>
                <c:pt idx="13">
                  <c:v>0.24401714202500568</c:v>
                </c:pt>
                <c:pt idx="14">
                  <c:v>0.24061048816400499</c:v>
                </c:pt>
                <c:pt idx="15">
                  <c:v>0.239638124362895</c:v>
                </c:pt>
                <c:pt idx="16">
                  <c:v>0.24054449770554021</c:v>
                </c:pt>
                <c:pt idx="17">
                  <c:v>0.24292395011389234</c:v>
                </c:pt>
                <c:pt idx="18">
                  <c:v>0.24647468098864578</c:v>
                </c:pt>
                <c:pt idx="19">
                  <c:v>0.25096839959225281</c:v>
                </c:pt>
                <c:pt idx="20">
                  <c:v>0.25622984090000256</c:v>
                </c:pt>
                <c:pt idx="21">
                  <c:v>0.26212264429111803</c:v>
                </c:pt>
                <c:pt idx="22">
                  <c:v>0.26853943258393409</c:v>
                </c:pt>
                <c:pt idx="23">
                  <c:v>0.2753947219390645</c:v>
                </c:pt>
                <c:pt idx="24">
                  <c:v>0.28261977573904185</c:v>
                </c:pt>
                <c:pt idx="25">
                  <c:v>0.29015881632677687</c:v>
                </c:pt>
                <c:pt idx="26">
                  <c:v>0.29796620005061891</c:v>
                </c:pt>
                <c:pt idx="27">
                  <c:v>0.30600428550625147</c:v>
                </c:pt>
                <c:pt idx="28">
                  <c:v>0.31424180717824163</c:v>
                </c:pt>
                <c:pt idx="29">
                  <c:v>0.32265262204100131</c:v>
                </c:pt>
                <c:pt idx="30">
                  <c:v>0.33121473448168698</c:v>
                </c:pt>
                <c:pt idx="31">
                  <c:v>0.33990953109072386</c:v>
                </c:pt>
                <c:pt idx="32">
                  <c:v>0.34872117524049701</c:v>
                </c:pt>
                <c:pt idx="33">
                  <c:v>0.35763612442638515</c:v>
                </c:pt>
                <c:pt idx="34">
                  <c:v>0.36664274272400105</c:v>
                </c:pt>
                <c:pt idx="35">
                  <c:v>0.37573098752847323</c:v>
                </c:pt>
                <c:pt idx="36">
                  <c:v>0.3848921547384232</c:v>
                </c:pt>
                <c:pt idx="37" formatCode="General">
                  <c:v>0.39411867024716157</c:v>
                </c:pt>
                <c:pt idx="38" formatCode="General">
                  <c:v>0.40340391836745654</c:v>
                </c:pt>
                <c:pt idx="39" formatCode="General">
                  <c:v>0.41274209989806337</c:v>
                </c:pt>
                <c:pt idx="40" formatCode="General">
                  <c:v>0.42212811412070284</c:v>
                </c:pt>
                <c:pt idx="41" formatCode="General">
                  <c:v>0.43155746022500086</c:v>
                </c:pt>
                <c:pt idx="42" formatCode="General">
                  <c:v>0.44102615458999539</c:v>
                </c:pt>
                <c:pt idx="43" formatCode="General">
                  <c:v>0.45053066107277973</c:v>
                </c:pt>
                <c:pt idx="44" formatCode="General">
                  <c:v>0.46006783201822299</c:v>
                </c:pt>
                <c:pt idx="45" formatCode="General">
                  <c:v>0.46963485814598377</c:v>
                </c:pt>
                <c:pt idx="46" formatCode="General">
                  <c:v>0.47922922582023614</c:v>
                </c:pt>
                <c:pt idx="47" formatCode="General">
                  <c:v>0.48884868048476637</c:v>
                </c:pt>
                <c:pt idx="48" formatCode="General">
                  <c:v>0.49849119526734764</c:v>
                </c:pt>
                <c:pt idx="49" formatCode="General">
                  <c:v>0.50815494393476068</c:v>
                </c:pt>
                <c:pt idx="50" formatCode="General">
                  <c:v>0.51783827752283806</c:v>
                </c:pt>
                <c:pt idx="51" formatCode="General">
                  <c:v>0.52753970408169448</c:v>
                </c:pt>
                <c:pt idx="52" formatCode="General">
                  <c:v>0.53725787107045275</c:v>
                </c:pt>
                <c:pt idx="53" formatCode="General">
                  <c:v>0.54699155001265498</c:v>
                </c:pt>
                <c:pt idx="54" formatCode="General">
                  <c:v>0.55673962308657909</c:v>
                </c:pt>
                <c:pt idx="55" formatCode="General">
                  <c:v>0.56650107137656314</c:v>
                </c:pt>
                <c:pt idx="56" formatCode="General">
                  <c:v>0.57627496455429428</c:v>
                </c:pt>
                <c:pt idx="57" formatCode="General">
                  <c:v>0.58606045179456068</c:v>
                </c:pt>
                <c:pt idx="58" formatCode="General">
                  <c:v>0.59585675375952374</c:v>
                </c:pt>
                <c:pt idx="59" formatCode="General">
                  <c:v>0.60566315551025063</c:v>
                </c:pt>
                <c:pt idx="60" formatCode="General">
                  <c:v>0.61547900022491331</c:v>
                </c:pt>
                <c:pt idx="61" formatCode="General">
                  <c:v>0.6253036836204221</c:v>
                </c:pt>
                <c:pt idx="62" formatCode="General">
                  <c:v>0.63513664898888955</c:v>
                </c:pt>
                <c:pt idx="63" formatCode="General">
                  <c:v>0.64497738277268124</c:v>
                </c:pt>
                <c:pt idx="64" formatCode="General">
                  <c:v>0.65482541061228461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7AB-4595-8E52-34C88147D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086440"/>
        <c:axId val="188091536"/>
      </c:scatterChart>
      <c:valAx>
        <c:axId val="188086440"/>
        <c:scaling>
          <c:orientation val="minMax"/>
          <c:max val="0.70000000000000007"/>
        </c:scaling>
        <c:delete val="0"/>
        <c:axPos val="b"/>
        <c:numFmt formatCode="0.00_);[Red]\(0.00\)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8091536"/>
        <c:crosses val="autoZero"/>
        <c:crossBetween val="midCat"/>
      </c:valAx>
      <c:valAx>
        <c:axId val="188091536"/>
        <c:scaling>
          <c:orientation val="minMax"/>
          <c:max val="1.4"/>
          <c:min val="0"/>
        </c:scaling>
        <c:delete val="0"/>
        <c:axPos val="l"/>
        <c:majorGridlines/>
        <c:numFmt formatCode="#,##0.00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80864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7805486284289271"/>
          <c:y val="0.45209643704716551"/>
          <c:w val="0.19700748129675816"/>
          <c:h val="0.1556889370864570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541753831512225"/>
          <c:y val="0.10666336955814408"/>
          <c:w val="0.70634253432075633"/>
          <c:h val="0.82705005624296968"/>
        </c:manualLayout>
      </c:layout>
      <c:scatterChart>
        <c:scatterStyle val="lineMarker"/>
        <c:varyColors val="0"/>
        <c:ser>
          <c:idx val="0"/>
          <c:order val="1"/>
          <c:tx>
            <c:v>Qc(k) </c:v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 DeflussoECritica'!$C$10:$C$82</c:f>
              <c:numCache>
                <c:formatCode>0.000</c:formatCode>
                <c:ptCount val="73"/>
                <c:pt idx="0">
                  <c:v>0.1</c:v>
                </c:pt>
                <c:pt idx="1">
                  <c:v>0.6</c:v>
                </c:pt>
                <c:pt idx="2">
                  <c:v>1.1000000000000001</c:v>
                </c:pt>
                <c:pt idx="3">
                  <c:v>1.6</c:v>
                </c:pt>
                <c:pt idx="4">
                  <c:v>2.1</c:v>
                </c:pt>
                <c:pt idx="5">
                  <c:v>2.6</c:v>
                </c:pt>
                <c:pt idx="6">
                  <c:v>3.1</c:v>
                </c:pt>
                <c:pt idx="7">
                  <c:v>3.6</c:v>
                </c:pt>
                <c:pt idx="8">
                  <c:v>4.0999999999999996</c:v>
                </c:pt>
                <c:pt idx="9">
                  <c:v>4.5999999999999996</c:v>
                </c:pt>
                <c:pt idx="10">
                  <c:v>5.0999999999999996</c:v>
                </c:pt>
                <c:pt idx="11">
                  <c:v>5.6</c:v>
                </c:pt>
                <c:pt idx="12">
                  <c:v>6.1</c:v>
                </c:pt>
                <c:pt idx="13">
                  <c:v>6.6</c:v>
                </c:pt>
                <c:pt idx="14">
                  <c:v>7.1</c:v>
                </c:pt>
                <c:pt idx="15">
                  <c:v>7.6</c:v>
                </c:pt>
                <c:pt idx="16">
                  <c:v>8.1</c:v>
                </c:pt>
                <c:pt idx="17">
                  <c:v>8.6</c:v>
                </c:pt>
                <c:pt idx="18">
                  <c:v>9.1</c:v>
                </c:pt>
                <c:pt idx="19">
                  <c:v>9.6</c:v>
                </c:pt>
                <c:pt idx="20">
                  <c:v>10.1</c:v>
                </c:pt>
                <c:pt idx="21">
                  <c:v>10.6</c:v>
                </c:pt>
                <c:pt idx="22">
                  <c:v>11.1</c:v>
                </c:pt>
                <c:pt idx="23">
                  <c:v>11.6</c:v>
                </c:pt>
                <c:pt idx="24">
                  <c:v>12.1</c:v>
                </c:pt>
                <c:pt idx="25">
                  <c:v>12.6</c:v>
                </c:pt>
                <c:pt idx="26">
                  <c:v>13.1</c:v>
                </c:pt>
                <c:pt idx="27">
                  <c:v>13.6</c:v>
                </c:pt>
                <c:pt idx="28">
                  <c:v>14.1</c:v>
                </c:pt>
                <c:pt idx="29">
                  <c:v>14.6</c:v>
                </c:pt>
                <c:pt idx="30">
                  <c:v>15.1</c:v>
                </c:pt>
                <c:pt idx="31">
                  <c:v>15.6</c:v>
                </c:pt>
                <c:pt idx="32">
                  <c:v>16.100000000000001</c:v>
                </c:pt>
                <c:pt idx="33">
                  <c:v>16.600000000000001</c:v>
                </c:pt>
                <c:pt idx="34">
                  <c:v>17.100000000000001</c:v>
                </c:pt>
                <c:pt idx="35">
                  <c:v>17.600000000000001</c:v>
                </c:pt>
                <c:pt idx="36">
                  <c:v>18.100000000000001</c:v>
                </c:pt>
                <c:pt idx="37">
                  <c:v>18.600000000000001</c:v>
                </c:pt>
                <c:pt idx="38">
                  <c:v>19.100000000000001</c:v>
                </c:pt>
                <c:pt idx="39">
                  <c:v>19.600000000000001</c:v>
                </c:pt>
                <c:pt idx="40">
                  <c:v>20.100000000000001</c:v>
                </c:pt>
                <c:pt idx="41">
                  <c:v>20.6</c:v>
                </c:pt>
                <c:pt idx="42">
                  <c:v>21.1</c:v>
                </c:pt>
                <c:pt idx="43">
                  <c:v>21.6</c:v>
                </c:pt>
                <c:pt idx="44">
                  <c:v>22.1</c:v>
                </c:pt>
                <c:pt idx="45">
                  <c:v>22.6</c:v>
                </c:pt>
                <c:pt idx="46">
                  <c:v>23.1</c:v>
                </c:pt>
                <c:pt idx="47">
                  <c:v>23.6</c:v>
                </c:pt>
              </c:numCache>
            </c:numRef>
          </c:xVal>
          <c:yVal>
            <c:numRef>
              <c:f>' DeflussoECritica'!$K$10:$K$82</c:f>
              <c:numCache>
                <c:formatCode>General</c:formatCode>
                <c:ptCount val="73"/>
                <c:pt idx="0">
                  <c:v>0.19809088823063015</c:v>
                </c:pt>
                <c:pt idx="1">
                  <c:v>2.9113295931584249</c:v>
                </c:pt>
                <c:pt idx="2">
                  <c:v>7.2269246571415158</c:v>
                </c:pt>
                <c:pt idx="3">
                  <c:v>12.677816846760329</c:v>
                </c:pt>
                <c:pt idx="4">
                  <c:v>19.063096285755893</c:v>
                </c:pt>
                <c:pt idx="5">
                  <c:v>26.261801918375671</c:v>
                </c:pt>
                <c:pt idx="6">
                  <c:v>34.190625030847272</c:v>
                </c:pt>
                <c:pt idx="7">
                  <c:v>42.787631857816116</c:v>
                </c:pt>
                <c:pt idx="8">
                  <c:v>52.004423273410112</c:v>
                </c:pt>
                <c:pt idx="9">
                  <c:v>61.80181744900387</c:v>
                </c:pt>
                <c:pt idx="10">
                  <c:v>72.147246932921831</c:v>
                </c:pt>
                <c:pt idx="11">
                  <c:v>83.013082342483827</c:v>
                </c:pt>
                <c:pt idx="12">
                  <c:v>94.375497031803761</c:v>
                </c:pt>
                <c:pt idx="13">
                  <c:v>106.21366691720985</c:v>
                </c:pt>
                <c:pt idx="14">
                  <c:v>118.50918799823074</c:v>
                </c:pt>
                <c:pt idx="15">
                  <c:v>131.24564084189615</c:v>
                </c:pt>
                <c:pt idx="16">
                  <c:v>144.40825752012935</c:v>
                </c:pt>
                <c:pt idx="17">
                  <c:v>157.98366194008796</c:v>
                </c:pt>
                <c:pt idx="18">
                  <c:v>171.95966399129767</c:v>
                </c:pt>
                <c:pt idx="19">
                  <c:v>186.32509396213919</c:v>
                </c:pt>
                <c:pt idx="20">
                  <c:v>201.06966762791447</c:v>
                </c:pt>
                <c:pt idx="21">
                  <c:v>216.18387506934923</c:v>
                </c:pt>
                <c:pt idx="22">
                  <c:v>231.65888810921976</c:v>
                </c:pt>
                <c:pt idx="23">
                  <c:v>247.48648253995609</c:v>
                </c:pt>
                <c:pt idx="24">
                  <c:v>263.6589722349687</c:v>
                </c:pt>
                <c:pt idx="25">
                  <c:v>280.16915290588292</c:v>
                </c:pt>
                <c:pt idx="26">
                  <c:v>297.01025376239113</c:v>
                </c:pt>
                <c:pt idx="27">
                  <c:v>314.17589570175494</c:v>
                </c:pt>
                <c:pt idx="28">
                  <c:v>331.66005493577308</c:v>
                </c:pt>
                <c:pt idx="29">
                  <c:v>349.45703117836962</c:v>
                </c:pt>
                <c:pt idx="30">
                  <c:v>367.56141968384003</c:v>
                </c:pt>
                <c:pt idx="31">
                  <c:v>385.96808655638876</c:v>
                </c:pt>
                <c:pt idx="32">
                  <c:v>404.67214685471009</c:v>
                </c:pt>
                <c:pt idx="33">
                  <c:v>423.66894509746646</c:v>
                </c:pt>
                <c:pt idx="34">
                  <c:v>442.95403784139961</c:v>
                </c:pt>
                <c:pt idx="35">
                  <c:v>462.52317805705701</c:v>
                </c:pt>
                <c:pt idx="36">
                  <c:v>482.37230107044923</c:v>
                </c:pt>
                <c:pt idx="37">
                  <c:v>502.49751187443712</c:v>
                </c:pt>
                <c:pt idx="38">
                  <c:v>522.89507364288681</c:v>
                </c:pt>
                <c:pt idx="39">
                  <c:v>543.56139730484915</c:v>
                </c:pt>
                <c:pt idx="40">
                  <c:v>564.49303205619822</c:v>
                </c:pt>
                <c:pt idx="41">
                  <c:v>585.68665670305313</c:v>
                </c:pt>
                <c:pt idx="42">
                  <c:v>607.13907174551048</c:v>
                </c:pt>
                <c:pt idx="43">
                  <c:v>628.84719212221989</c:v>
                </c:pt>
                <c:pt idx="44">
                  <c:v>650.80804054651946</c:v>
                </c:pt>
                <c:pt idx="45">
                  <c:v>673.01874137352229</c:v>
                </c:pt>
                <c:pt idx="46">
                  <c:v>695.47651494496927</c:v>
                </c:pt>
                <c:pt idx="47">
                  <c:v>718.17867236503207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55-4E28-A98D-26CF4BAD2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089184"/>
        <c:axId val="188089576"/>
      </c:scatterChart>
      <c:scatterChart>
        <c:scatterStyle val="smoothMarker"/>
        <c:varyColors val="0"/>
        <c:ser>
          <c:idx val="1"/>
          <c:order val="0"/>
          <c:tx>
            <c:v>Qu(hu)</c:v>
          </c:tx>
          <c:spPr>
            <a:ln w="25400">
              <a:solidFill>
                <a:srgbClr val="002060"/>
              </a:solidFill>
              <a:prstDash val="dash"/>
            </a:ln>
          </c:spPr>
          <c:marker>
            <c:symbol val="none"/>
          </c:marker>
          <c:xVal>
            <c:numRef>
              <c:f>' DeflussoECritica'!$C$10:$C$82</c:f>
              <c:numCache>
                <c:formatCode>0.000</c:formatCode>
                <c:ptCount val="73"/>
                <c:pt idx="0">
                  <c:v>0.1</c:v>
                </c:pt>
                <c:pt idx="1">
                  <c:v>0.6</c:v>
                </c:pt>
                <c:pt idx="2">
                  <c:v>1.1000000000000001</c:v>
                </c:pt>
                <c:pt idx="3">
                  <c:v>1.6</c:v>
                </c:pt>
                <c:pt idx="4">
                  <c:v>2.1</c:v>
                </c:pt>
                <c:pt idx="5">
                  <c:v>2.6</c:v>
                </c:pt>
                <c:pt idx="6">
                  <c:v>3.1</c:v>
                </c:pt>
                <c:pt idx="7">
                  <c:v>3.6</c:v>
                </c:pt>
                <c:pt idx="8">
                  <c:v>4.0999999999999996</c:v>
                </c:pt>
                <c:pt idx="9">
                  <c:v>4.5999999999999996</c:v>
                </c:pt>
                <c:pt idx="10">
                  <c:v>5.0999999999999996</c:v>
                </c:pt>
                <c:pt idx="11">
                  <c:v>5.6</c:v>
                </c:pt>
                <c:pt idx="12">
                  <c:v>6.1</c:v>
                </c:pt>
                <c:pt idx="13">
                  <c:v>6.6</c:v>
                </c:pt>
                <c:pt idx="14">
                  <c:v>7.1</c:v>
                </c:pt>
                <c:pt idx="15">
                  <c:v>7.6</c:v>
                </c:pt>
                <c:pt idx="16">
                  <c:v>8.1</c:v>
                </c:pt>
                <c:pt idx="17">
                  <c:v>8.6</c:v>
                </c:pt>
                <c:pt idx="18">
                  <c:v>9.1</c:v>
                </c:pt>
                <c:pt idx="19">
                  <c:v>9.6</c:v>
                </c:pt>
                <c:pt idx="20">
                  <c:v>10.1</c:v>
                </c:pt>
                <c:pt idx="21">
                  <c:v>10.6</c:v>
                </c:pt>
                <c:pt idx="22">
                  <c:v>11.1</c:v>
                </c:pt>
                <c:pt idx="23">
                  <c:v>11.6</c:v>
                </c:pt>
                <c:pt idx="24">
                  <c:v>12.1</c:v>
                </c:pt>
                <c:pt idx="25">
                  <c:v>12.6</c:v>
                </c:pt>
                <c:pt idx="26">
                  <c:v>13.1</c:v>
                </c:pt>
                <c:pt idx="27">
                  <c:v>13.6</c:v>
                </c:pt>
                <c:pt idx="28">
                  <c:v>14.1</c:v>
                </c:pt>
                <c:pt idx="29">
                  <c:v>14.6</c:v>
                </c:pt>
                <c:pt idx="30">
                  <c:v>15.1</c:v>
                </c:pt>
                <c:pt idx="31">
                  <c:v>15.6</c:v>
                </c:pt>
                <c:pt idx="32">
                  <c:v>16.100000000000001</c:v>
                </c:pt>
                <c:pt idx="33">
                  <c:v>16.600000000000001</c:v>
                </c:pt>
                <c:pt idx="34">
                  <c:v>17.100000000000001</c:v>
                </c:pt>
                <c:pt idx="35">
                  <c:v>17.600000000000001</c:v>
                </c:pt>
                <c:pt idx="36">
                  <c:v>18.100000000000001</c:v>
                </c:pt>
                <c:pt idx="37">
                  <c:v>18.600000000000001</c:v>
                </c:pt>
                <c:pt idx="38">
                  <c:v>19.100000000000001</c:v>
                </c:pt>
                <c:pt idx="39">
                  <c:v>19.600000000000001</c:v>
                </c:pt>
                <c:pt idx="40">
                  <c:v>20.100000000000001</c:v>
                </c:pt>
                <c:pt idx="41">
                  <c:v>20.6</c:v>
                </c:pt>
                <c:pt idx="42">
                  <c:v>21.1</c:v>
                </c:pt>
                <c:pt idx="43">
                  <c:v>21.6</c:v>
                </c:pt>
                <c:pt idx="44">
                  <c:v>22.1</c:v>
                </c:pt>
                <c:pt idx="45">
                  <c:v>22.6</c:v>
                </c:pt>
                <c:pt idx="46">
                  <c:v>23.1</c:v>
                </c:pt>
                <c:pt idx="47">
                  <c:v>23.6</c:v>
                </c:pt>
              </c:numCache>
            </c:numRef>
          </c:xVal>
          <c:yVal>
            <c:numRef>
              <c:f>' DeflussoECritica'!$F$10:$F$82</c:f>
              <c:numCache>
                <c:formatCode>0.0000</c:formatCode>
                <c:ptCount val="73"/>
                <c:pt idx="0">
                  <c:v>0.30842709467112772</c:v>
                </c:pt>
                <c:pt idx="1">
                  <c:v>3.7585103432077975</c:v>
                </c:pt>
                <c:pt idx="2">
                  <c:v>8.1438214967807703</c:v>
                </c:pt>
                <c:pt idx="3">
                  <c:v>12.839324209390703</c:v>
                </c:pt>
                <c:pt idx="4">
                  <c:v>17.680598442652403</c:v>
                </c:pt>
                <c:pt idx="5">
                  <c:v>22.602560326948218</c:v>
                </c:pt>
                <c:pt idx="6">
                  <c:v>27.573981373397785</c:v>
                </c:pt>
                <c:pt idx="7">
                  <c:v>32.577946127910579</c:v>
                </c:pt>
                <c:pt idx="8">
                  <c:v>37.604477830986788</c:v>
                </c:pt>
                <c:pt idx="9">
                  <c:v>42.647305726320923</c:v>
                </c:pt>
                <c:pt idx="10">
                  <c:v>47.702288222257685</c:v>
                </c:pt>
                <c:pt idx="11">
                  <c:v>52.766578954348127</c:v>
                </c:pt>
                <c:pt idx="12">
                  <c:v>57.838156711905896</c:v>
                </c:pt>
                <c:pt idx="13">
                  <c:v>62.915546401087298</c:v>
                </c:pt>
                <c:pt idx="14">
                  <c:v>67.997646146623936</c:v>
                </c:pt>
                <c:pt idx="15">
                  <c:v>73.083616208693002</c:v>
                </c:pt>
                <c:pt idx="16">
                  <c:v>78.17280536670728</c:v>
                </c:pt>
                <c:pt idx="17">
                  <c:v>83.26470080412227</c:v>
                </c:pt>
                <c:pt idx="18">
                  <c:v>88.358893179806159</c:v>
                </c:pt>
                <c:pt idx="19">
                  <c:v>93.455051772960843</c:v>
                </c:pt>
                <c:pt idx="20">
                  <c:v>98.552906466389786</c:v>
                </c:pt>
                <c:pt idx="21">
                  <c:v>103.65223446865403</c:v>
                </c:pt>
                <c:pt idx="22">
                  <c:v>108.75285038156794</c:v>
                </c:pt>
                <c:pt idx="23">
                  <c:v>113.85459866907107</c:v>
                </c:pt>
                <c:pt idx="24">
                  <c:v>118.95734787620502</c:v>
                </c:pt>
                <c:pt idx="25">
                  <c:v>124.06098614130448</c:v>
                </c:pt>
                <c:pt idx="26">
                  <c:v>129.16541767595635</c:v>
                </c:pt>
                <c:pt idx="27">
                  <c:v>134.27055997765231</c:v>
                </c:pt>
                <c:pt idx="28">
                  <c:v>139.37634160314116</c:v>
                </c:pt>
                <c:pt idx="29">
                  <c:v>144.48270037513942</c:v>
                </c:pt>
                <c:pt idx="30">
                  <c:v>149.58958192707809</c:v>
                </c:pt>
                <c:pt idx="31">
                  <c:v>154.69693851379918</c:v>
                </c:pt>
                <c:pt idx="32">
                  <c:v>159.80472803316675</c:v>
                </c:pt>
                <c:pt idx="33">
                  <c:v>164.91291321620196</c:v>
                </c:pt>
                <c:pt idx="34">
                  <c:v>170.02146095281734</c:v>
                </c:pt>
                <c:pt idx="35">
                  <c:v>175.13034172737858</c:v>
                </c:pt>
                <c:pt idx="36">
                  <c:v>180.23952914377188</c:v>
                </c:pt>
                <c:pt idx="37">
                  <c:v>185.34899952384367</c:v>
                </c:pt>
                <c:pt idx="38">
                  <c:v>190.45873156631794</c:v>
                </c:pt>
                <c:pt idx="39">
                  <c:v>195.56870605582458</c:v>
                </c:pt>
                <c:pt idx="40">
                  <c:v>200.67890561365397</c:v>
                </c:pt>
                <c:pt idx="41">
                  <c:v>205.7893144834191</c:v>
                </c:pt>
                <c:pt idx="42">
                  <c:v>210.89991834605118</c:v>
                </c:pt>
                <c:pt idx="43">
                  <c:v>216.01070415954953</c:v>
                </c:pt>
                <c:pt idx="44">
                  <c:v>221.1216600197053</c:v>
                </c:pt>
                <c:pt idx="45">
                  <c:v>226.23277503866439</c:v>
                </c:pt>
                <c:pt idx="46">
                  <c:v>231.34403923871977</c:v>
                </c:pt>
                <c:pt idx="47">
                  <c:v>236.4554434591503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255-4E28-A98D-26CF4BAD2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089184"/>
        <c:axId val="188089576"/>
      </c:scatterChart>
      <c:valAx>
        <c:axId val="188089184"/>
        <c:scaling>
          <c:orientation val="minMax"/>
          <c:max val="4"/>
          <c:min val="0"/>
        </c:scaling>
        <c:delete val="0"/>
        <c:axPos val="b"/>
        <c:numFmt formatCode="0.0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8089576"/>
        <c:crosses val="autoZero"/>
        <c:crossBetween val="midCat"/>
      </c:valAx>
      <c:valAx>
        <c:axId val="188089576"/>
        <c:scaling>
          <c:orientation val="minMax"/>
          <c:max val="2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808918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678082191780821"/>
          <c:y val="0.42718497566444968"/>
          <c:w val="0.16267123287671237"/>
          <c:h val="0.14077695385164235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313711715403605"/>
          <c:y val="0.12342269716285464"/>
          <c:w val="0.70634253432075633"/>
          <c:h val="0.82705005624296968"/>
        </c:manualLayout>
      </c:layout>
      <c:scatterChart>
        <c:scatterStyle val="lineMarker"/>
        <c:varyColors val="0"/>
        <c:ser>
          <c:idx val="0"/>
          <c:order val="1"/>
          <c:tx>
            <c:v>Qc(k) </c:v>
          </c:tx>
          <c:spPr>
            <a:ln w="15875">
              <a:solidFill>
                <a:srgbClr val="FFFF00"/>
              </a:solidFill>
              <a:prstDash val="sysDot"/>
            </a:ln>
          </c:spPr>
          <c:marker>
            <c:symbol val="none"/>
          </c:marker>
          <c:xVal>
            <c:numRef>
              <c:f>' DeflussoECritica'!$C$90:$C$1622</c:f>
              <c:numCache>
                <c:formatCode>0.000</c:formatCode>
                <c:ptCount val="1533"/>
                <c:pt idx="0">
                  <c:v>0.1</c:v>
                </c:pt>
                <c:pt idx="1">
                  <c:v>0.2</c:v>
                </c:pt>
                <c:pt idx="2">
                  <c:v>0.30000000000000004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0.79999999999999993</c:v>
                </c:pt>
                <c:pt idx="8">
                  <c:v>0.89999999999999991</c:v>
                </c:pt>
                <c:pt idx="9">
                  <c:v>0.99999999999999989</c:v>
                </c:pt>
                <c:pt idx="10">
                  <c:v>1.0999999999999999</c:v>
                </c:pt>
                <c:pt idx="11">
                  <c:v>1.2</c:v>
                </c:pt>
                <c:pt idx="12">
                  <c:v>1.3</c:v>
                </c:pt>
                <c:pt idx="13">
                  <c:v>1.4000000000000001</c:v>
                </c:pt>
                <c:pt idx="14">
                  <c:v>1.5000000000000002</c:v>
                </c:pt>
                <c:pt idx="15">
                  <c:v>1.6000000000000003</c:v>
                </c:pt>
                <c:pt idx="16">
                  <c:v>1.7000000000000004</c:v>
                </c:pt>
                <c:pt idx="17">
                  <c:v>1.8000000000000005</c:v>
                </c:pt>
                <c:pt idx="18">
                  <c:v>1.9000000000000006</c:v>
                </c:pt>
                <c:pt idx="19">
                  <c:v>2.0000000000000004</c:v>
                </c:pt>
                <c:pt idx="20">
                  <c:v>2.1000000000000005</c:v>
                </c:pt>
                <c:pt idx="21">
                  <c:v>2.2000000000000006</c:v>
                </c:pt>
                <c:pt idx="22">
                  <c:v>2.3000000000000007</c:v>
                </c:pt>
                <c:pt idx="23">
                  <c:v>2.4000000000000008</c:v>
                </c:pt>
                <c:pt idx="24">
                  <c:v>2.5000000000000009</c:v>
                </c:pt>
                <c:pt idx="25">
                  <c:v>2.600000000000001</c:v>
                </c:pt>
                <c:pt idx="26">
                  <c:v>2.7000000000000011</c:v>
                </c:pt>
                <c:pt idx="27">
                  <c:v>2.8000000000000012</c:v>
                </c:pt>
                <c:pt idx="28">
                  <c:v>2.9000000000000012</c:v>
                </c:pt>
                <c:pt idx="29">
                  <c:v>3.0000000000000013</c:v>
                </c:pt>
                <c:pt idx="30">
                  <c:v>3.1000000000000014</c:v>
                </c:pt>
                <c:pt idx="31">
                  <c:v>3.2000000000000015</c:v>
                </c:pt>
                <c:pt idx="32">
                  <c:v>3.3000000000000016</c:v>
                </c:pt>
                <c:pt idx="33">
                  <c:v>3.4000000000000017</c:v>
                </c:pt>
                <c:pt idx="34">
                  <c:v>3.5000000000000018</c:v>
                </c:pt>
                <c:pt idx="35">
                  <c:v>3.6000000000000019</c:v>
                </c:pt>
                <c:pt idx="36">
                  <c:v>3.700000000000002</c:v>
                </c:pt>
                <c:pt idx="37">
                  <c:v>3.800000000000002</c:v>
                </c:pt>
                <c:pt idx="38">
                  <c:v>3.9000000000000021</c:v>
                </c:pt>
                <c:pt idx="39">
                  <c:v>4.0000000000000018</c:v>
                </c:pt>
                <c:pt idx="40">
                  <c:v>4.1000000000000014</c:v>
                </c:pt>
                <c:pt idx="41">
                  <c:v>4.2000000000000011</c:v>
                </c:pt>
                <c:pt idx="42">
                  <c:v>4.3000000000000007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4.6999999999999993</c:v>
                </c:pt>
                <c:pt idx="47">
                  <c:v>4.7999999999999989</c:v>
                </c:pt>
                <c:pt idx="48">
                  <c:v>4.8999999999999986</c:v>
                </c:pt>
                <c:pt idx="49">
                  <c:v>4.9999999999999982</c:v>
                </c:pt>
                <c:pt idx="50">
                  <c:v>5.0999999999999979</c:v>
                </c:pt>
                <c:pt idx="51">
                  <c:v>5.1999999999999975</c:v>
                </c:pt>
                <c:pt idx="52">
                  <c:v>5.2999999999999972</c:v>
                </c:pt>
                <c:pt idx="53">
                  <c:v>5.3999999999999968</c:v>
                </c:pt>
                <c:pt idx="54">
                  <c:v>5.4999999999999964</c:v>
                </c:pt>
                <c:pt idx="55">
                  <c:v>5.5999999999999961</c:v>
                </c:pt>
                <c:pt idx="56">
                  <c:v>5.6999999999999957</c:v>
                </c:pt>
                <c:pt idx="57">
                  <c:v>5.7999999999999954</c:v>
                </c:pt>
                <c:pt idx="58">
                  <c:v>5.899999999999995</c:v>
                </c:pt>
                <c:pt idx="59">
                  <c:v>5.9999999999999947</c:v>
                </c:pt>
                <c:pt idx="60">
                  <c:v>6.0999999999999943</c:v>
                </c:pt>
                <c:pt idx="61">
                  <c:v>6.199999999999994</c:v>
                </c:pt>
                <c:pt idx="62">
                  <c:v>6.2999999999999936</c:v>
                </c:pt>
                <c:pt idx="63">
                  <c:v>6.3999999999999932</c:v>
                </c:pt>
                <c:pt idx="64">
                  <c:v>6.4999999999999929</c:v>
                </c:pt>
                <c:pt idx="65">
                  <c:v>6.5999999999999925</c:v>
                </c:pt>
                <c:pt idx="66">
                  <c:v>6.6999999999999922</c:v>
                </c:pt>
                <c:pt idx="67">
                  <c:v>6.7999999999999918</c:v>
                </c:pt>
                <c:pt idx="68">
                  <c:v>6.8999999999999915</c:v>
                </c:pt>
                <c:pt idx="69">
                  <c:v>6.9999999999999911</c:v>
                </c:pt>
                <c:pt idx="70">
                  <c:v>7.0999999999999908</c:v>
                </c:pt>
                <c:pt idx="71">
                  <c:v>7.1999999999999904</c:v>
                </c:pt>
                <c:pt idx="72">
                  <c:v>7.2999999999999901</c:v>
                </c:pt>
                <c:pt idx="73">
                  <c:v>7.3999999999999897</c:v>
                </c:pt>
                <c:pt idx="74">
                  <c:v>7.4999999999999893</c:v>
                </c:pt>
                <c:pt idx="75">
                  <c:v>7.599999999999989</c:v>
                </c:pt>
                <c:pt idx="76">
                  <c:v>7.6999999999999886</c:v>
                </c:pt>
                <c:pt idx="77">
                  <c:v>7.7999999999999883</c:v>
                </c:pt>
                <c:pt idx="78">
                  <c:v>7.8999999999999879</c:v>
                </c:pt>
                <c:pt idx="79">
                  <c:v>7.9999999999999876</c:v>
                </c:pt>
                <c:pt idx="80">
                  <c:v>8.0999999999999872</c:v>
                </c:pt>
                <c:pt idx="81">
                  <c:v>8.1999999999999869</c:v>
                </c:pt>
                <c:pt idx="82">
                  <c:v>8.2999999999999865</c:v>
                </c:pt>
                <c:pt idx="83">
                  <c:v>8.3999999999999861</c:v>
                </c:pt>
                <c:pt idx="84">
                  <c:v>8.4999999999999858</c:v>
                </c:pt>
                <c:pt idx="85">
                  <c:v>8.5999999999999854</c:v>
                </c:pt>
                <c:pt idx="86">
                  <c:v>8.6999999999999851</c:v>
                </c:pt>
                <c:pt idx="87">
                  <c:v>8.7999999999999847</c:v>
                </c:pt>
                <c:pt idx="88">
                  <c:v>8.8999999999999844</c:v>
                </c:pt>
                <c:pt idx="89">
                  <c:v>8.999999999999984</c:v>
                </c:pt>
                <c:pt idx="90">
                  <c:v>9.0999999999999837</c:v>
                </c:pt>
                <c:pt idx="91">
                  <c:v>9.1999999999999833</c:v>
                </c:pt>
                <c:pt idx="92">
                  <c:v>9.2999999999999829</c:v>
                </c:pt>
                <c:pt idx="93">
                  <c:v>9.3999999999999826</c:v>
                </c:pt>
                <c:pt idx="94">
                  <c:v>9.4999999999999822</c:v>
                </c:pt>
                <c:pt idx="95">
                  <c:v>9.5999999999999819</c:v>
                </c:pt>
                <c:pt idx="96">
                  <c:v>9.6999999999999815</c:v>
                </c:pt>
                <c:pt idx="97">
                  <c:v>9.7999999999999812</c:v>
                </c:pt>
                <c:pt idx="98">
                  <c:v>9.8999999999999808</c:v>
                </c:pt>
              </c:numCache>
            </c:numRef>
          </c:xVal>
          <c:yVal>
            <c:numRef>
              <c:f>' DeflussoECritica'!$M$90:$M$162</c:f>
              <c:numCache>
                <c:formatCode>0.0000</c:formatCode>
                <c:ptCount val="73"/>
                <c:pt idx="0">
                  <c:v>0.20321304468472257</c:v>
                </c:pt>
                <c:pt idx="1">
                  <c:v>0.59007447770046006</c:v>
                </c:pt>
                <c:pt idx="2">
                  <c:v>1.1133195897821662</c:v>
                </c:pt>
                <c:pt idx="3">
                  <c:v>1.7605979099963178</c:v>
                </c:pt>
                <c:pt idx="4">
                  <c:v>2.5271802175411646</c:v>
                </c:pt>
                <c:pt idx="5">
                  <c:v>3.4114830678819232</c:v>
                </c:pt>
                <c:pt idx="6">
                  <c:v>4.4135095383767107</c:v>
                </c:pt>
                <c:pt idx="7">
                  <c:v>5.5341525866137768</c:v>
                </c:pt>
                <c:pt idx="8">
                  <c:v>6.7748372331440248</c:v>
                </c:pt>
                <c:pt idx="9">
                  <c:v>8.1373193513035478</c:v>
                </c:pt>
                <c:pt idx="10">
                  <c:v>9.6235650824755083</c:v>
                </c:pt>
                <c:pt idx="11">
                  <c:v>11.235675093134052</c:v>
                </c:pt>
                <c:pt idx="12">
                  <c:v>12.975835267627062</c:v>
                </c:pt>
                <c:pt idx="13">
                  <c:v>14.846283711760872</c:v>
                </c:pt>
                <c:pt idx="14">
                  <c:v>16.849288194728061</c:v>
                </c:pt>
                <c:pt idx="15">
                  <c:v>18.987130474067552</c:v>
                </c:pt>
                <c:pt idx="16">
                  <c:v>21.26209527343692</c:v>
                </c:pt>
                <c:pt idx="17">
                  <c:v>23.676462471802228</c:v>
                </c:pt>
                <c:pt idx="18">
                  <c:v>26.232501548456767</c:v>
                </c:pt>
                <c:pt idx="19">
                  <c:v>28.932467636303791</c:v>
                </c:pt>
                <c:pt idx="20">
                  <c:v>31.77859873613081</c:v>
                </c:pt>
                <c:pt idx="21">
                  <c:v>34.773113777751384</c:v>
                </c:pt>
                <c:pt idx="22">
                  <c:v>37.918211304145778</c:v>
                </c:pt>
                <c:pt idx="23">
                  <c:v>41.216068616980877</c:v>
                </c:pt>
                <c:pt idx="24">
                  <c:v>44.668841265491224</c:v>
                </c:pt>
                <c:pt idx="25">
                  <c:v>48.278662791671678</c:v>
                </c:pt>
                <c:pt idx="26">
                  <c:v>52.047644667003375</c:v>
                </c:pt>
                <c:pt idx="27">
                  <c:v>55.977876372134624</c:v>
                </c:pt>
                <c:pt idx="28">
                  <c:v>60.071425582842089</c:v>
                </c:pt>
                <c:pt idx="29">
                  <c:v>64.330338434426722</c:v>
                </c:pt>
                <c:pt idx="30">
                  <c:v>68.756639843302864</c:v>
                </c:pt>
                <c:pt idx="31">
                  <c:v>73.352333869514879</c:v>
                </c:pt>
                <c:pt idx="32">
                  <c:v>78.119404107693867</c:v>
                </c:pt>
                <c:pt idx="33">
                  <c:v>83.059814096849067</c:v>
                </c:pt>
                <c:pt idx="34">
                  <c:v>88.175507741604207</c:v>
                </c:pt>
                <c:pt idx="35">
                  <c:v>93.468409739196304</c:v>
                </c:pt>
                <c:pt idx="36">
                  <c:v>98.940426007879637</c:v>
                </c:pt>
                <c:pt idx="37">
                  <c:v>104.59344411340577</c:v>
                </c:pt>
                <c:pt idx="38">
                  <c:v>110.42933369105535</c:v>
                </c:pt>
                <c:pt idx="39">
                  <c:v>116.44994686132502</c:v>
                </c:pt>
                <c:pt idx="40">
                  <c:v>122.65711863786521</c:v>
                </c:pt>
                <c:pt idx="41">
                  <c:v>129.0526673266512</c:v>
                </c:pt>
                <c:pt idx="42">
                  <c:v>135.63839491567293</c:v>
                </c:pt>
                <c:pt idx="43">
                  <c:v>142.41608745466624</c:v>
                </c:pt>
                <c:pt idx="44">
                  <c:v>149.38751542459519</c:v>
                </c:pt>
                <c:pt idx="45">
                  <c:v>156.55443409674092</c:v>
                </c:pt>
                <c:pt idx="46">
                  <c:v>163.91858388136367</c:v>
                </c:pt>
                <c:pt idx="47">
                  <c:v>171.48169066599522</c:v>
                </c:pt>
                <c:pt idx="48">
                  <c:v>179.2454661434835</c:v>
                </c:pt>
                <c:pt idx="49">
                  <c:v>187.21160812996308</c:v>
                </c:pt>
                <c:pt idx="50">
                  <c:v>195.38180087296442</c:v>
                </c:pt>
                <c:pt idx="51">
                  <c:v>203.75771534989963</c:v>
                </c:pt>
                <c:pt idx="52">
                  <c:v>212.34100955718543</c:v>
                </c:pt>
                <c:pt idx="53">
                  <c:v>221.13332879027436</c:v>
                </c:pt>
                <c:pt idx="54">
                  <c:v>230.13630591487504</c:v>
                </c:pt>
                <c:pt idx="55">
                  <c:v>239.35156162964529</c:v>
                </c:pt>
                <c:pt idx="56">
                  <c:v>248.78070472064221</c:v>
                </c:pt>
                <c:pt idx="57">
                  <c:v>258.42533230781345</c:v>
                </c:pt>
                <c:pt idx="58">
                  <c:v>268.28703008380734</c:v>
                </c:pt>
                <c:pt idx="59">
                  <c:v>278.36737254537752</c:v>
                </c:pt>
                <c:pt idx="60">
                  <c:v>288.66792321764893</c:v>
                </c:pt>
                <c:pt idx="61">
                  <c:v>299.19023487150605</c:v>
                </c:pt>
                <c:pt idx="62">
                  <c:v>309.93584973435702</c:v>
                </c:pt>
                <c:pt idx="63">
                  <c:v>320.90629969451908</c:v>
                </c:pt>
                <c:pt idx="64">
                  <c:v>332.10310649946098</c:v>
                </c:pt>
                <c:pt idx="65">
                  <c:v>343.52778194813322</c:v>
                </c:pt>
                <c:pt idx="66">
                  <c:v>355.18182807760365</c:v>
                </c:pt>
                <c:pt idx="67">
                  <c:v>367.06673734421429</c:v>
                </c:pt>
                <c:pt idx="68">
                  <c:v>379.18399279945839</c:v>
                </c:pt>
                <c:pt idx="69">
                  <c:v>391.53506826077825</c:v>
                </c:pt>
                <c:pt idx="70">
                  <c:v>404.12142847746964</c:v>
                </c:pt>
                <c:pt idx="71">
                  <c:v>416.94452929187281</c:v>
                </c:pt>
                <c:pt idx="72">
                  <c:v>430.0058177960247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C9-47BF-89AE-D4CE8778E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090752"/>
        <c:axId val="188457840"/>
      </c:scatterChart>
      <c:scatterChart>
        <c:scatterStyle val="smoothMarker"/>
        <c:varyColors val="0"/>
        <c:ser>
          <c:idx val="1"/>
          <c:order val="0"/>
          <c:tx>
            <c:v>Qu(hu)</c:v>
          </c:tx>
          <c:spPr>
            <a:ln>
              <a:solidFill>
                <a:srgbClr val="002060"/>
              </a:solidFill>
              <a:prstDash val="lgDash"/>
            </a:ln>
          </c:spPr>
          <c:marker>
            <c:symbol val="none"/>
          </c:marker>
          <c:xVal>
            <c:numRef>
              <c:f>' DeflussoECritica'!$C$90:$C$162</c:f>
              <c:numCache>
                <c:formatCode>0.000</c:formatCode>
                <c:ptCount val="73"/>
                <c:pt idx="0">
                  <c:v>0.1</c:v>
                </c:pt>
                <c:pt idx="1">
                  <c:v>0.2</c:v>
                </c:pt>
                <c:pt idx="2">
                  <c:v>0.30000000000000004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0.79999999999999993</c:v>
                </c:pt>
                <c:pt idx="8">
                  <c:v>0.89999999999999991</c:v>
                </c:pt>
                <c:pt idx="9">
                  <c:v>0.99999999999999989</c:v>
                </c:pt>
                <c:pt idx="10">
                  <c:v>1.0999999999999999</c:v>
                </c:pt>
                <c:pt idx="11">
                  <c:v>1.2</c:v>
                </c:pt>
                <c:pt idx="12">
                  <c:v>1.3</c:v>
                </c:pt>
                <c:pt idx="13">
                  <c:v>1.4000000000000001</c:v>
                </c:pt>
                <c:pt idx="14">
                  <c:v>1.5000000000000002</c:v>
                </c:pt>
                <c:pt idx="15">
                  <c:v>1.6000000000000003</c:v>
                </c:pt>
                <c:pt idx="16">
                  <c:v>1.7000000000000004</c:v>
                </c:pt>
                <c:pt idx="17">
                  <c:v>1.8000000000000005</c:v>
                </c:pt>
                <c:pt idx="18">
                  <c:v>1.9000000000000006</c:v>
                </c:pt>
                <c:pt idx="19">
                  <c:v>2.0000000000000004</c:v>
                </c:pt>
                <c:pt idx="20">
                  <c:v>2.1000000000000005</c:v>
                </c:pt>
                <c:pt idx="21">
                  <c:v>2.2000000000000006</c:v>
                </c:pt>
                <c:pt idx="22">
                  <c:v>2.3000000000000007</c:v>
                </c:pt>
                <c:pt idx="23">
                  <c:v>2.4000000000000008</c:v>
                </c:pt>
                <c:pt idx="24">
                  <c:v>2.5000000000000009</c:v>
                </c:pt>
                <c:pt idx="25">
                  <c:v>2.600000000000001</c:v>
                </c:pt>
                <c:pt idx="26">
                  <c:v>2.7000000000000011</c:v>
                </c:pt>
                <c:pt idx="27">
                  <c:v>2.8000000000000012</c:v>
                </c:pt>
                <c:pt idx="28">
                  <c:v>2.9000000000000012</c:v>
                </c:pt>
                <c:pt idx="29">
                  <c:v>3.0000000000000013</c:v>
                </c:pt>
                <c:pt idx="30">
                  <c:v>3.1000000000000014</c:v>
                </c:pt>
                <c:pt idx="31">
                  <c:v>3.2000000000000015</c:v>
                </c:pt>
                <c:pt idx="32">
                  <c:v>3.3000000000000016</c:v>
                </c:pt>
                <c:pt idx="33">
                  <c:v>3.4000000000000017</c:v>
                </c:pt>
                <c:pt idx="34">
                  <c:v>3.5000000000000018</c:v>
                </c:pt>
                <c:pt idx="35">
                  <c:v>3.6000000000000019</c:v>
                </c:pt>
                <c:pt idx="36">
                  <c:v>3.700000000000002</c:v>
                </c:pt>
                <c:pt idx="37">
                  <c:v>3.800000000000002</c:v>
                </c:pt>
                <c:pt idx="38">
                  <c:v>3.9000000000000021</c:v>
                </c:pt>
                <c:pt idx="39">
                  <c:v>4.0000000000000018</c:v>
                </c:pt>
                <c:pt idx="40">
                  <c:v>4.1000000000000014</c:v>
                </c:pt>
                <c:pt idx="41">
                  <c:v>4.2000000000000011</c:v>
                </c:pt>
                <c:pt idx="42">
                  <c:v>4.3000000000000007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4.6999999999999993</c:v>
                </c:pt>
                <c:pt idx="47">
                  <c:v>4.7999999999999989</c:v>
                </c:pt>
                <c:pt idx="48">
                  <c:v>4.8999999999999986</c:v>
                </c:pt>
                <c:pt idx="49">
                  <c:v>4.9999999999999982</c:v>
                </c:pt>
                <c:pt idx="50">
                  <c:v>5.0999999999999979</c:v>
                </c:pt>
                <c:pt idx="51">
                  <c:v>5.1999999999999975</c:v>
                </c:pt>
                <c:pt idx="52">
                  <c:v>5.2999999999999972</c:v>
                </c:pt>
                <c:pt idx="53">
                  <c:v>5.3999999999999968</c:v>
                </c:pt>
                <c:pt idx="54">
                  <c:v>5.4999999999999964</c:v>
                </c:pt>
                <c:pt idx="55">
                  <c:v>5.5999999999999961</c:v>
                </c:pt>
                <c:pt idx="56">
                  <c:v>5.6999999999999957</c:v>
                </c:pt>
                <c:pt idx="57">
                  <c:v>5.7999999999999954</c:v>
                </c:pt>
                <c:pt idx="58">
                  <c:v>5.899999999999995</c:v>
                </c:pt>
                <c:pt idx="59">
                  <c:v>5.9999999999999947</c:v>
                </c:pt>
                <c:pt idx="60">
                  <c:v>6.0999999999999943</c:v>
                </c:pt>
                <c:pt idx="61">
                  <c:v>6.199999999999994</c:v>
                </c:pt>
                <c:pt idx="62">
                  <c:v>6.2999999999999936</c:v>
                </c:pt>
                <c:pt idx="63">
                  <c:v>6.3999999999999932</c:v>
                </c:pt>
                <c:pt idx="64">
                  <c:v>6.4999999999999929</c:v>
                </c:pt>
                <c:pt idx="65">
                  <c:v>6.5999999999999925</c:v>
                </c:pt>
                <c:pt idx="66">
                  <c:v>6.6999999999999922</c:v>
                </c:pt>
                <c:pt idx="67">
                  <c:v>6.7999999999999918</c:v>
                </c:pt>
                <c:pt idx="68">
                  <c:v>6.8999999999999915</c:v>
                </c:pt>
                <c:pt idx="69">
                  <c:v>6.9999999999999911</c:v>
                </c:pt>
                <c:pt idx="70">
                  <c:v>7.0999999999999908</c:v>
                </c:pt>
                <c:pt idx="71">
                  <c:v>7.1999999999999904</c:v>
                </c:pt>
                <c:pt idx="72">
                  <c:v>7.2999999999999901</c:v>
                </c:pt>
              </c:numCache>
            </c:numRef>
          </c:xVal>
          <c:yVal>
            <c:numRef>
              <c:f>' DeflussoECritica'!$H$90:$H$162</c:f>
              <c:numCache>
                <c:formatCode>0.0000</c:formatCode>
                <c:ptCount val="73"/>
                <c:pt idx="0">
                  <c:v>0.20603404968038441</c:v>
                </c:pt>
                <c:pt idx="1">
                  <c:v>0.58941955760368026</c:v>
                </c:pt>
                <c:pt idx="2">
                  <c:v>1.0985246502013504</c:v>
                </c:pt>
                <c:pt idx="3">
                  <c:v>1.7194329711276406</c:v>
                </c:pt>
                <c:pt idx="4">
                  <c:v>2.4466091244169297</c:v>
                </c:pt>
                <c:pt idx="5">
                  <c:v>3.2779556764812305</c:v>
                </c:pt>
                <c:pt idx="6">
                  <c:v>4.2130850372460635</c:v>
                </c:pt>
                <c:pt idx="7">
                  <c:v>5.252552859473016</c:v>
                </c:pt>
                <c:pt idx="8">
                  <c:v>6.3974693495431678</c:v>
                </c:pt>
                <c:pt idx="9">
                  <c:v>7.6492841457608129</c:v>
                </c:pt>
                <c:pt idx="10">
                  <c:v>9.0096595908288215</c:v>
                </c:pt>
                <c:pt idx="11">
                  <c:v>10.480392505439367</c:v>
                </c:pt>
                <c:pt idx="12">
                  <c:v>12.063364128114946</c:v>
                </c:pt>
                <c:pt idx="13">
                  <c:v>13.76050716257018</c:v>
                </c:pt>
                <c:pt idx="14">
                  <c:v>15.573783601006548</c:v>
                </c:pt>
                <c:pt idx="15">
                  <c:v>17.505169542599017</c:v>
                </c:pt>
                <c:pt idx="16">
                  <c:v>19.556644668984426</c:v>
                </c:pt>
                <c:pt idx="17">
                  <c:v>21.730184887003269</c:v>
                </c:pt>
                <c:pt idx="18">
                  <c:v>24.027757164918572</c:v>
                </c:pt>
                <c:pt idx="19">
                  <c:v>26.451315911303652</c:v>
                </c:pt>
                <c:pt idx="20">
                  <c:v>29.002800453106481</c:v>
                </c:pt>
                <c:pt idx="21">
                  <c:v>31.684133305461863</c:v>
                </c:pt>
                <c:pt idx="22">
                  <c:v>34.497219016899756</c:v>
                </c:pt>
                <c:pt idx="23">
                  <c:v>37.44394343564452</c:v>
                </c:pt>
                <c:pt idx="24">
                  <c:v>40.526173285641946</c:v>
                </c:pt>
                <c:pt idx="25">
                  <c:v>43.745755971097836</c:v>
                </c:pt>
                <c:pt idx="26">
                  <c:v>47.104519549749632</c:v>
                </c:pt>
                <c:pt idx="27">
                  <c:v>50.604272830516571</c:v>
                </c:pt>
                <c:pt idx="28">
                  <c:v>54.246805562388502</c:v>
                </c:pt>
                <c:pt idx="29">
                  <c:v>58.033888689647441</c:v>
                </c:pt>
                <c:pt idx="30">
                  <c:v>61.967274654612936</c:v>
                </c:pt>
                <c:pt idx="31">
                  <c:v>66.048697733653512</c:v>
                </c:pt>
                <c:pt idx="32">
                  <c:v>70.279874395628866</c:v>
                </c:pt>
                <c:pt idx="33">
                  <c:v>74.662503674515122</c:v>
                </c:pt>
                <c:pt idx="34">
                  <c:v>79.198267549936688</c:v>
                </c:pt>
                <c:pt idx="35">
                  <c:v>83.888831330833781</c:v>
                </c:pt>
                <c:pt idx="36">
                  <c:v>88.735844038652644</c:v>
                </c:pt>
                <c:pt idx="37">
                  <c:v>93.740938787337981</c:v>
                </c:pt>
                <c:pt idx="38">
                  <c:v>98.905733158096339</c:v>
                </c:pt>
                <c:pt idx="39">
                  <c:v>104.23182956743513</c:v>
                </c:pt>
                <c:pt idx="40">
                  <c:v>109.72081562739689</c:v>
                </c:pt>
                <c:pt idx="41">
                  <c:v>115.37426449723111</c:v>
                </c:pt>
                <c:pt idx="42">
                  <c:v>121.19373522599687</c:v>
                </c:pt>
                <c:pt idx="43">
                  <c:v>127.18077308578412</c:v>
                </c:pt>
                <c:pt idx="44">
                  <c:v>133.33690989539204</c:v>
                </c:pt>
                <c:pt idx="45">
                  <c:v>139.66366433441928</c:v>
                </c:pt>
                <c:pt idx="46">
                  <c:v>146.16254224780945</c:v>
                </c:pt>
                <c:pt idx="47">
                  <c:v>152.83503694096387</c:v>
                </c:pt>
                <c:pt idx="48">
                  <c:v>159.68262946558337</c:v>
                </c:pt>
                <c:pt idx="49">
                  <c:v>166.70678889643912</c:v>
                </c:pt>
                <c:pt idx="50">
                  <c:v>173.9089725993004</c:v>
                </c:pt>
                <c:pt idx="51">
                  <c:v>181.29062649026369</c:v>
                </c:pt>
                <c:pt idx="52">
                  <c:v>188.85318528674321</c:v>
                </c:pt>
                <c:pt idx="53">
                  <c:v>196.59807275038656</c:v>
                </c:pt>
                <c:pt idx="54">
                  <c:v>204.5267019221869</c:v>
                </c:pt>
                <c:pt idx="55">
                  <c:v>212.64047535005804</c:v>
                </c:pt>
                <c:pt idx="56">
                  <c:v>220.94078530914175</c:v>
                </c:pt>
                <c:pt idx="57">
                  <c:v>229.42901401510886</c:v>
                </c:pt>
                <c:pt idx="58">
                  <c:v>238.10653383071258</c:v>
                </c:pt>
                <c:pt idx="59">
                  <c:v>246.97470746584497</c:v>
                </c:pt>
                <c:pt idx="60">
                  <c:v>256.03488817134127</c:v>
                </c:pt>
                <c:pt idx="61">
                  <c:v>265.28841992676746</c:v>
                </c:pt>
                <c:pt idx="62">
                  <c:v>274.73663762242188</c:v>
                </c:pt>
                <c:pt idx="63">
                  <c:v>284.38086723576964</c:v>
                </c:pt>
                <c:pt idx="64">
                  <c:v>294.22242600252304</c:v>
                </c:pt>
                <c:pt idx="65">
                  <c:v>304.26262258257344</c:v>
                </c:pt>
                <c:pt idx="66">
                  <c:v>314.50275722096887</c:v>
                </c:pt>
                <c:pt idx="67">
                  <c:v>324.94412190412845</c:v>
                </c:pt>
                <c:pt idx="68">
                  <c:v>335.58800051147188</c:v>
                </c:pt>
                <c:pt idx="69">
                  <c:v>346.43566896263991</c:v>
                </c:pt>
                <c:pt idx="70">
                  <c:v>357.48839536047035</c:v>
                </c:pt>
                <c:pt idx="71">
                  <c:v>368.74744012988907</c:v>
                </c:pt>
                <c:pt idx="72">
                  <c:v>380.21405615286852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5C9-47BF-89AE-D4CE8778E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090752"/>
        <c:axId val="188457840"/>
      </c:scatterChart>
      <c:valAx>
        <c:axId val="188090752"/>
        <c:scaling>
          <c:orientation val="minMax"/>
          <c:max val="1.2"/>
          <c:min val="0"/>
        </c:scaling>
        <c:delete val="0"/>
        <c:axPos val="b"/>
        <c:numFmt formatCode="0.0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8457840"/>
        <c:crosses val="autoZero"/>
        <c:crossBetween val="midCat"/>
      </c:valAx>
      <c:valAx>
        <c:axId val="188457840"/>
        <c:scaling>
          <c:orientation val="minMax"/>
          <c:max val="10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809075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957410562180582"/>
          <c:y val="0.70324189526184544"/>
          <c:w val="0.92504258943781947"/>
          <c:h val="0.87281795511221949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Q in funzione di h, dato H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159821934022953"/>
          <c:y val="0.11707723721513108"/>
          <c:w val="0.66996616231794559"/>
          <c:h val="0.81321866277566723"/>
        </c:manualLayout>
      </c:layout>
      <c:scatterChart>
        <c:scatterStyle val="smoothMarker"/>
        <c:varyColors val="0"/>
        <c:ser>
          <c:idx val="1"/>
          <c:order val="0"/>
          <c:tx>
            <c:v>H = 2 </c:v>
          </c:tx>
          <c:xVal>
            <c:numRef>
              <c:f>'Q(h) '!$C$6:$C$44</c:f>
              <c:numCache>
                <c:formatCode>0.000</c:formatCode>
                <c:ptCount val="39"/>
                <c:pt idx="0">
                  <c:v>0.1</c:v>
                </c:pt>
                <c:pt idx="1">
                  <c:v>0.2</c:v>
                </c:pt>
                <c:pt idx="2">
                  <c:v>0.30000000000000004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0.79999999999999993</c:v>
                </c:pt>
                <c:pt idx="8">
                  <c:v>0.89999999999999991</c:v>
                </c:pt>
                <c:pt idx="9">
                  <c:v>0.99999999999999989</c:v>
                </c:pt>
                <c:pt idx="10">
                  <c:v>1.0999999999999999</c:v>
                </c:pt>
                <c:pt idx="11">
                  <c:v>1.2</c:v>
                </c:pt>
                <c:pt idx="12">
                  <c:v>1.3</c:v>
                </c:pt>
                <c:pt idx="13">
                  <c:v>1.4000000000000001</c:v>
                </c:pt>
                <c:pt idx="14">
                  <c:v>1.5000000000000002</c:v>
                </c:pt>
                <c:pt idx="15">
                  <c:v>1.6000000000000003</c:v>
                </c:pt>
                <c:pt idx="16">
                  <c:v>1.7000000000000004</c:v>
                </c:pt>
                <c:pt idx="17">
                  <c:v>1.8000000000000005</c:v>
                </c:pt>
                <c:pt idx="18">
                  <c:v>1.9000000000000006</c:v>
                </c:pt>
                <c:pt idx="19">
                  <c:v>2.0000000000000004</c:v>
                </c:pt>
                <c:pt idx="20">
                  <c:v>2.1000000000000005</c:v>
                </c:pt>
                <c:pt idx="21">
                  <c:v>2.2000000000000006</c:v>
                </c:pt>
                <c:pt idx="22">
                  <c:v>2.3000000000000007</c:v>
                </c:pt>
                <c:pt idx="23">
                  <c:v>2.4000000000000008</c:v>
                </c:pt>
                <c:pt idx="24">
                  <c:v>2.5000000000000009</c:v>
                </c:pt>
                <c:pt idx="25">
                  <c:v>2.600000000000001</c:v>
                </c:pt>
                <c:pt idx="26">
                  <c:v>2.7000000000000011</c:v>
                </c:pt>
                <c:pt idx="27">
                  <c:v>2.8000000000000012</c:v>
                </c:pt>
                <c:pt idx="28">
                  <c:v>2.9000000000000012</c:v>
                </c:pt>
                <c:pt idx="29">
                  <c:v>3.0000000000000013</c:v>
                </c:pt>
                <c:pt idx="30">
                  <c:v>3.1000000000000014</c:v>
                </c:pt>
                <c:pt idx="31">
                  <c:v>3.2000000000000015</c:v>
                </c:pt>
                <c:pt idx="32">
                  <c:v>3.3000000000000016</c:v>
                </c:pt>
                <c:pt idx="33">
                  <c:v>3.4000000000000017</c:v>
                </c:pt>
                <c:pt idx="34">
                  <c:v>3.5000000000000018</c:v>
                </c:pt>
                <c:pt idx="35">
                  <c:v>3.6000000000000019</c:v>
                </c:pt>
                <c:pt idx="36">
                  <c:v>3.700000000000002</c:v>
                </c:pt>
                <c:pt idx="37">
                  <c:v>3.800000000000002</c:v>
                </c:pt>
                <c:pt idx="38">
                  <c:v>3.9000000000000021</c:v>
                </c:pt>
              </c:numCache>
            </c:numRef>
          </c:xVal>
          <c:yVal>
            <c:numRef>
              <c:f>'Q(h) '!$I$6:$I$44</c:f>
              <c:numCache>
                <c:formatCode>0.000E+00</c:formatCode>
                <c:ptCount val="39"/>
                <c:pt idx="0">
                  <c:v>1.8316713679041885</c:v>
                </c:pt>
                <c:pt idx="1">
                  <c:v>3.5656359881513433</c:v>
                </c:pt>
                <c:pt idx="2">
                  <c:v>5.1977629803599168</c:v>
                </c:pt>
                <c:pt idx="3">
                  <c:v>6.7234276972389626</c:v>
                </c:pt>
                <c:pt idx="4">
                  <c:v>8.1374135940113064</c:v>
                </c:pt>
                <c:pt idx="5">
                  <c:v>9.4337860904305</c:v>
                </c:pt>
                <c:pt idx="6">
                  <c:v>10.605727697805557</c:v>
                </c:pt>
                <c:pt idx="7">
                  <c:v>11.645318372633701</c:v>
                </c:pt>
                <c:pt idx="8">
                  <c:v>12.543236424463982</c:v>
                </c:pt>
                <c:pt idx="9">
                  <c:v>13.28834075421006</c:v>
                </c:pt>
                <c:pt idx="10">
                  <c:v>13.867069625555359</c:v>
                </c:pt>
                <c:pt idx="11">
                  <c:v>14.26254395260537</c:v>
                </c:pt>
                <c:pt idx="12">
                  <c:v>14.453170586414597</c:v>
                </c:pt>
                <c:pt idx="13">
                  <c:v>14.410346283139763</c:v>
                </c:pt>
                <c:pt idx="14">
                  <c:v>14.094413787029245</c:v>
                </c:pt>
                <c:pt idx="15">
                  <c:v>13.446855394477918</c:v>
                </c:pt>
                <c:pt idx="16">
                  <c:v>12.373150770923299</c:v>
                </c:pt>
                <c:pt idx="17">
                  <c:v>10.696907964454017</c:v>
                </c:pt>
                <c:pt idx="18">
                  <c:v>7.9840703904712464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471-40AD-B30C-7F1ADB4F5343}"/>
            </c:ext>
          </c:extLst>
        </c:ser>
        <c:ser>
          <c:idx val="0"/>
          <c:order val="1"/>
          <c:tx>
            <c:v>H=1</c:v>
          </c:tx>
          <c:spPr>
            <a:ln w="25400">
              <a:solidFill>
                <a:schemeClr val="accent1"/>
              </a:solidFill>
            </a:ln>
          </c:spPr>
          <c:xVal>
            <c:numRef>
              <c:f>'Q(h) '!$V$6:$V$15</c:f>
              <c:numCache>
                <c:formatCode>0.000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0.30000000000000004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0.79999999999999993</c:v>
                </c:pt>
                <c:pt idx="8">
                  <c:v>0.89999999999999991</c:v>
                </c:pt>
                <c:pt idx="9">
                  <c:v>0.99999999999999989</c:v>
                </c:pt>
              </c:numCache>
            </c:numRef>
          </c:xVal>
          <c:yVal>
            <c:numRef>
              <c:f>'Q(h) '!$AB$6:$AB$15</c:f>
              <c:numCache>
                <c:formatCode>0.0000</c:formatCode>
                <c:ptCount val="10"/>
                <c:pt idx="0">
                  <c:v>1.2606426932323054</c:v>
                </c:pt>
                <c:pt idx="1">
                  <c:v>2.3770906587675622</c:v>
                </c:pt>
                <c:pt idx="2">
                  <c:v>3.3353470584033689</c:v>
                </c:pt>
                <c:pt idx="3">
                  <c:v>4.1172417951827898</c:v>
                </c:pt>
                <c:pt idx="4">
                  <c:v>4.6981379290097482</c:v>
                </c:pt>
                <c:pt idx="5">
                  <c:v>5.0425707729292206</c:v>
                </c:pt>
                <c:pt idx="6">
                  <c:v>5.0948267880272438</c:v>
                </c:pt>
                <c:pt idx="7">
                  <c:v>4.7541813175351235</c:v>
                </c:pt>
                <c:pt idx="8">
                  <c:v>3.7819280796969168</c:v>
                </c:pt>
                <c:pt idx="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471-40AD-B30C-7F1ADB4F5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061896"/>
        <c:axId val="186066600"/>
      </c:scatterChart>
      <c:valAx>
        <c:axId val="186061896"/>
        <c:scaling>
          <c:orientation val="minMax"/>
          <c:max val="2.1"/>
          <c:min val="0"/>
        </c:scaling>
        <c:delete val="0"/>
        <c:axPos val="b"/>
        <c:numFmt formatCode="0.0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6066600"/>
        <c:crosses val="autoZero"/>
        <c:crossBetween val="midCat"/>
      </c:valAx>
      <c:valAx>
        <c:axId val="186066600"/>
        <c:scaling>
          <c:orientation val="minMax"/>
          <c:min val="0"/>
        </c:scaling>
        <c:delete val="0"/>
        <c:axPos val="l"/>
        <c:majorGridlines/>
        <c:numFmt formatCode="#,##0.00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606189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037047217147133"/>
          <c:y val="0.51515265137312383"/>
          <c:w val="0.13141705336114295"/>
          <c:h val="9.7402824646919073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345934441655903E-2"/>
          <c:y val="2.0852621510471108E-2"/>
          <c:w val="0.85185983734508541"/>
          <c:h val="0.87645934314592022"/>
        </c:manualLayout>
      </c:layout>
      <c:scatterChart>
        <c:scatterStyle val="smoothMarker"/>
        <c:varyColors val="0"/>
        <c:ser>
          <c:idx val="0"/>
          <c:order val="0"/>
          <c:tx>
            <c:v>Qu Rettangolo</c:v>
          </c:tx>
          <c:spPr>
            <a:ln w="25400">
              <a:prstDash val="sysDash"/>
            </a:ln>
          </c:spPr>
          <c:marker>
            <c:symbol val="none"/>
          </c:marker>
          <c:xVal>
            <c:numRef>
              <c:f>MotoUniforme!$C$6:$C$42</c:f>
              <c:numCache>
                <c:formatCode>0.000</c:formatCode>
                <c:ptCount val="37"/>
                <c:pt idx="0">
                  <c:v>1E-3</c:v>
                </c:pt>
                <c:pt idx="1">
                  <c:v>0.10100000000000001</c:v>
                </c:pt>
                <c:pt idx="2">
                  <c:v>0.20100000000000001</c:v>
                </c:pt>
                <c:pt idx="3">
                  <c:v>0.30100000000000005</c:v>
                </c:pt>
                <c:pt idx="4">
                  <c:v>0.40100000000000002</c:v>
                </c:pt>
                <c:pt idx="5">
                  <c:v>0.501</c:v>
                </c:pt>
                <c:pt idx="6">
                  <c:v>0.60099999999999998</c:v>
                </c:pt>
                <c:pt idx="7">
                  <c:v>0.70099999999999996</c:v>
                </c:pt>
                <c:pt idx="8">
                  <c:v>0.80099999999999993</c:v>
                </c:pt>
                <c:pt idx="9">
                  <c:v>0.90099999999999991</c:v>
                </c:pt>
                <c:pt idx="10">
                  <c:v>1.0009999999999999</c:v>
                </c:pt>
                <c:pt idx="11">
                  <c:v>1.101</c:v>
                </c:pt>
                <c:pt idx="12">
                  <c:v>1.2010000000000001</c:v>
                </c:pt>
                <c:pt idx="13">
                  <c:v>1.3010000000000002</c:v>
                </c:pt>
                <c:pt idx="14">
                  <c:v>1.4010000000000002</c:v>
                </c:pt>
                <c:pt idx="15">
                  <c:v>1.5010000000000003</c:v>
                </c:pt>
                <c:pt idx="16">
                  <c:v>1.6010000000000004</c:v>
                </c:pt>
                <c:pt idx="17">
                  <c:v>1.7010000000000005</c:v>
                </c:pt>
                <c:pt idx="18">
                  <c:v>1.8010000000000006</c:v>
                </c:pt>
                <c:pt idx="19">
                  <c:v>1.9010000000000007</c:v>
                </c:pt>
                <c:pt idx="20">
                  <c:v>2.0010000000000008</c:v>
                </c:pt>
                <c:pt idx="21">
                  <c:v>2.1010000000000009</c:v>
                </c:pt>
                <c:pt idx="22">
                  <c:v>2.201000000000001</c:v>
                </c:pt>
                <c:pt idx="23">
                  <c:v>2.301000000000001</c:v>
                </c:pt>
                <c:pt idx="24">
                  <c:v>2.4010000000000011</c:v>
                </c:pt>
                <c:pt idx="25">
                  <c:v>2.5010000000000012</c:v>
                </c:pt>
                <c:pt idx="26">
                  <c:v>2.6010000000000013</c:v>
                </c:pt>
                <c:pt idx="27">
                  <c:v>2.7010000000000014</c:v>
                </c:pt>
                <c:pt idx="28">
                  <c:v>2.8010000000000015</c:v>
                </c:pt>
                <c:pt idx="29">
                  <c:v>2.9010000000000016</c:v>
                </c:pt>
                <c:pt idx="30">
                  <c:v>3.0010000000000017</c:v>
                </c:pt>
                <c:pt idx="31">
                  <c:v>3.1010000000000018</c:v>
                </c:pt>
                <c:pt idx="32">
                  <c:v>3.2010000000000018</c:v>
                </c:pt>
                <c:pt idx="33">
                  <c:v>3.3010000000000019</c:v>
                </c:pt>
                <c:pt idx="34">
                  <c:v>3.401000000000002</c:v>
                </c:pt>
                <c:pt idx="35">
                  <c:v>3.5010000000000021</c:v>
                </c:pt>
                <c:pt idx="36">
                  <c:v>3.6010000000000022</c:v>
                </c:pt>
              </c:numCache>
            </c:numRef>
          </c:xVal>
          <c:yVal>
            <c:numRef>
              <c:f>MotoUniforme!$H$6:$H$42</c:f>
              <c:numCache>
                <c:formatCode>0.0000</c:formatCode>
                <c:ptCount val="37"/>
                <c:pt idx="0">
                  <c:v>2.7325480591181424E-4</c:v>
                </c:pt>
                <c:pt idx="1">
                  <c:v>0.26446807179033299</c:v>
                </c:pt>
                <c:pt idx="2">
                  <c:v>0.71089822535199232</c:v>
                </c:pt>
                <c:pt idx="3">
                  <c:v>1.2516875795388058</c:v>
                </c:pt>
                <c:pt idx="4">
                  <c:v>1.8547370135784982</c:v>
                </c:pt>
                <c:pt idx="5">
                  <c:v>2.5023674965460327</c:v>
                </c:pt>
                <c:pt idx="6">
                  <c:v>3.1834709392065652</c:v>
                </c:pt>
                <c:pt idx="7">
                  <c:v>3.8905385038496934</c:v>
                </c:pt>
                <c:pt idx="8">
                  <c:v>4.6182428376523861</c:v>
                </c:pt>
                <c:pt idx="9">
                  <c:v>5.3626688006209822</c:v>
                </c:pt>
                <c:pt idx="10">
                  <c:v>6.1208596248832752</c:v>
                </c:pt>
                <c:pt idx="11">
                  <c:v>6.890532729195864</c:v>
                </c:pt>
                <c:pt idx="12">
                  <c:v>7.6698935682847313</c:v>
                </c:pt>
                <c:pt idx="13">
                  <c:v>8.4575092832958134</c:v>
                </c:pt>
                <c:pt idx="14">
                  <c:v>9.2522204184561225</c:v>
                </c:pt>
                <c:pt idx="15">
                  <c:v>10.053077721549393</c:v>
                </c:pt>
                <c:pt idx="16">
                  <c:v>10.859295956279743</c:v>
                </c:pt>
                <c:pt idx="17">
                  <c:v>11.670219537646577</c:v>
                </c:pt>
                <c:pt idx="18">
                  <c:v>12.485296559275666</c:v>
                </c:pt>
                <c:pt idx="19">
                  <c:v>13.304058888197821</c:v>
                </c:pt>
                <c:pt idx="20">
                  <c:v>14.126106718524566</c:v>
                </c:pt>
                <c:pt idx="21">
                  <c:v>14.951096449917589</c:v>
                </c:pt>
                <c:pt idx="22">
                  <c:v>15.778731077842879</c:v>
                </c:pt>
                <c:pt idx="23">
                  <c:v>16.608752504014614</c:v>
                </c:pt>
                <c:pt idx="24">
                  <c:v>17.440935330696199</c:v>
                </c:pt>
                <c:pt idx="25">
                  <c:v>18.27508181306268</c:v>
                </c:pt>
                <c:pt idx="26">
                  <c:v>19.111017723614538</c:v>
                </c:pt>
                <c:pt idx="27">
                  <c:v>19.948588940951701</c:v>
                </c:pt>
                <c:pt idx="28">
                  <c:v>20.787658618339115</c:v>
                </c:pt>
                <c:pt idx="29">
                  <c:v>21.628104819722751</c:v>
                </c:pt>
                <c:pt idx="30">
                  <c:v>22.469818535178785</c:v>
                </c:pt>
                <c:pt idx="31">
                  <c:v>23.312702006305951</c:v>
                </c:pt>
                <c:pt idx="32">
                  <c:v>24.156667306304399</c:v>
                </c:pt>
                <c:pt idx="33">
                  <c:v>25.001635130506259</c:v>
                </c:pt>
                <c:pt idx="34">
                  <c:v>25.847533761722527</c:v>
                </c:pt>
                <c:pt idx="35">
                  <c:v>26.694298181527426</c:v>
                </c:pt>
                <c:pt idx="36">
                  <c:v>27.54186930394501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256-4BD1-83A8-739CFB0FA3E1}"/>
            </c:ext>
          </c:extLst>
        </c:ser>
        <c:ser>
          <c:idx val="2"/>
          <c:order val="1"/>
          <c:tx>
            <c:v>Qc rettangolo</c:v>
          </c:tx>
          <c:spPr>
            <a:ln w="15875"/>
          </c:spPr>
          <c:marker>
            <c:symbol val="none"/>
          </c:marker>
          <c:xVal>
            <c:numRef>
              <c:f>MotoUniforme!$C$6:$C$42</c:f>
              <c:numCache>
                <c:formatCode>0.000</c:formatCode>
                <c:ptCount val="37"/>
                <c:pt idx="0">
                  <c:v>1E-3</c:v>
                </c:pt>
                <c:pt idx="1">
                  <c:v>0.10100000000000001</c:v>
                </c:pt>
                <c:pt idx="2">
                  <c:v>0.20100000000000001</c:v>
                </c:pt>
                <c:pt idx="3">
                  <c:v>0.30100000000000005</c:v>
                </c:pt>
                <c:pt idx="4">
                  <c:v>0.40100000000000002</c:v>
                </c:pt>
                <c:pt idx="5">
                  <c:v>0.501</c:v>
                </c:pt>
                <c:pt idx="6">
                  <c:v>0.60099999999999998</c:v>
                </c:pt>
                <c:pt idx="7">
                  <c:v>0.70099999999999996</c:v>
                </c:pt>
                <c:pt idx="8">
                  <c:v>0.80099999999999993</c:v>
                </c:pt>
                <c:pt idx="9">
                  <c:v>0.90099999999999991</c:v>
                </c:pt>
                <c:pt idx="10">
                  <c:v>1.0009999999999999</c:v>
                </c:pt>
                <c:pt idx="11">
                  <c:v>1.101</c:v>
                </c:pt>
                <c:pt idx="12">
                  <c:v>1.2010000000000001</c:v>
                </c:pt>
                <c:pt idx="13">
                  <c:v>1.3010000000000002</c:v>
                </c:pt>
                <c:pt idx="14">
                  <c:v>1.4010000000000002</c:v>
                </c:pt>
                <c:pt idx="15">
                  <c:v>1.5010000000000003</c:v>
                </c:pt>
                <c:pt idx="16">
                  <c:v>1.6010000000000004</c:v>
                </c:pt>
                <c:pt idx="17">
                  <c:v>1.7010000000000005</c:v>
                </c:pt>
                <c:pt idx="18">
                  <c:v>1.8010000000000006</c:v>
                </c:pt>
                <c:pt idx="19">
                  <c:v>1.9010000000000007</c:v>
                </c:pt>
                <c:pt idx="20">
                  <c:v>2.0010000000000008</c:v>
                </c:pt>
                <c:pt idx="21">
                  <c:v>2.1010000000000009</c:v>
                </c:pt>
                <c:pt idx="22">
                  <c:v>2.201000000000001</c:v>
                </c:pt>
                <c:pt idx="23">
                  <c:v>2.301000000000001</c:v>
                </c:pt>
                <c:pt idx="24">
                  <c:v>2.4010000000000011</c:v>
                </c:pt>
                <c:pt idx="25">
                  <c:v>2.5010000000000012</c:v>
                </c:pt>
                <c:pt idx="26">
                  <c:v>2.6010000000000013</c:v>
                </c:pt>
                <c:pt idx="27">
                  <c:v>2.7010000000000014</c:v>
                </c:pt>
                <c:pt idx="28">
                  <c:v>2.8010000000000015</c:v>
                </c:pt>
                <c:pt idx="29">
                  <c:v>2.9010000000000016</c:v>
                </c:pt>
                <c:pt idx="30">
                  <c:v>3.0010000000000017</c:v>
                </c:pt>
                <c:pt idx="31">
                  <c:v>3.1010000000000018</c:v>
                </c:pt>
                <c:pt idx="32">
                  <c:v>3.2010000000000018</c:v>
                </c:pt>
                <c:pt idx="33">
                  <c:v>3.3010000000000019</c:v>
                </c:pt>
                <c:pt idx="34">
                  <c:v>3.401000000000002</c:v>
                </c:pt>
                <c:pt idx="35">
                  <c:v>3.5010000000000021</c:v>
                </c:pt>
                <c:pt idx="36">
                  <c:v>3.6010000000000022</c:v>
                </c:pt>
              </c:numCache>
            </c:numRef>
          </c:xVal>
          <c:yVal>
            <c:numRef>
              <c:f>MotoUniforme!$I$6:$I$42</c:f>
              <c:numCache>
                <c:formatCode>0.0000</c:formatCode>
                <c:ptCount val="37"/>
                <c:pt idx="0">
                  <c:v>1.9809088823063016E-4</c:v>
                </c:pt>
                <c:pt idx="1">
                  <c:v>0.20106966762791451</c:v>
                </c:pt>
                <c:pt idx="2">
                  <c:v>0.56449303205619827</c:v>
                </c:pt>
                <c:pt idx="3">
                  <c:v>1.0344612874535231</c:v>
                </c:pt>
                <c:pt idx="4">
                  <c:v>1.5906735451499785</c:v>
                </c:pt>
                <c:pt idx="5">
                  <c:v>2.2213709503907717</c:v>
                </c:pt>
                <c:pt idx="6">
                  <c:v>2.9186109489344414</c:v>
                </c:pt>
                <c:pt idx="7">
                  <c:v>3.6765588861379603</c:v>
                </c:pt>
                <c:pt idx="8">
                  <c:v>4.4906920419062359</c:v>
                </c:pt>
                <c:pt idx="9">
                  <c:v>5.3573705478751412</c:v>
                </c:pt>
                <c:pt idx="10">
                  <c:v>6.2735825298819474</c:v>
                </c:pt>
                <c:pt idx="11">
                  <c:v>7.2367817938113896</c:v>
                </c:pt>
                <c:pt idx="12">
                  <c:v>8.2447788389525662</c:v>
                </c:pt>
                <c:pt idx="13">
                  <c:v>9.29566457415714</c:v>
                </c:pt>
                <c:pt idx="14">
                  <c:v>10.387755101427837</c:v>
                </c:pt>
                <c:pt idx="15">
                  <c:v>11.519550625750993</c:v>
                </c:pt>
                <c:pt idx="16">
                  <c:v>12.689704156962845</c:v>
                </c:pt>
                <c:pt idx="17">
                  <c:v>13.896997192316048</c:v>
                </c:pt>
                <c:pt idx="18">
                  <c:v>15.140320496450538</c:v>
                </c:pt>
                <c:pt idx="19">
                  <c:v>16.418658681732815</c:v>
                </c:pt>
                <c:pt idx="20">
                  <c:v>17.731077673938504</c:v>
                </c:pt>
                <c:pt idx="21">
                  <c:v>19.076714403985829</c:v>
                </c:pt>
                <c:pt idx="22">
                  <c:v>20.454768241738659</c:v>
                </c:pt>
                <c:pt idx="23">
                  <c:v>21.864493810633729</c:v>
                </c:pt>
                <c:pt idx="24">
                  <c:v>23.305194909445422</c:v>
                </c:pt>
                <c:pt idx="25">
                  <c:v>24.776219331028717</c:v>
                </c:pt>
                <c:pt idx="26">
                  <c:v>26.276954414681338</c:v>
                </c:pt>
                <c:pt idx="27">
                  <c:v>27.806823203725397</c:v>
                </c:pt>
                <c:pt idx="28">
                  <c:v>29.365281106354857</c:v>
                </c:pt>
                <c:pt idx="29">
                  <c:v>30.951812978034773</c:v>
                </c:pt>
                <c:pt idx="30">
                  <c:v>32.565930559393536</c:v>
                </c:pt>
                <c:pt idx="31">
                  <c:v>34.207170215778476</c:v>
                </c:pt>
                <c:pt idx="32">
                  <c:v>35.875090934285339</c:v>
                </c:pt>
                <c:pt idx="33">
                  <c:v>37.569272541736055</c:v>
                </c:pt>
                <c:pt idx="34">
                  <c:v>39.289314113219682</c:v>
                </c:pt>
                <c:pt idx="35">
                  <c:v>41.034832545768275</c:v>
                </c:pt>
                <c:pt idx="36">
                  <c:v>42.805461275767648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B96-4718-89E5-808F7429F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091928"/>
        <c:axId val="188086832"/>
      </c:scatterChart>
      <c:valAx>
        <c:axId val="188091928"/>
        <c:scaling>
          <c:orientation val="minMax"/>
          <c:max val="1.4"/>
        </c:scaling>
        <c:delete val="0"/>
        <c:axPos val="b"/>
        <c:numFmt formatCode="0.00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8086832"/>
        <c:crosses val="autoZero"/>
        <c:crossBetween val="midCat"/>
      </c:valAx>
      <c:valAx>
        <c:axId val="188086832"/>
        <c:scaling>
          <c:orientation val="minMax"/>
          <c:max val="10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80919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515922385916926"/>
          <c:y val="0.56333208220832975"/>
          <c:w val="0.18565698426452673"/>
          <c:h val="0.18578210598621456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282279980489162E-2"/>
          <c:y val="7.4548702245552642E-2"/>
          <c:w val="0.70816862936380742"/>
          <c:h val="0.8326195683872849"/>
        </c:manualLayout>
      </c:layout>
      <c:scatterChart>
        <c:scatterStyle val="smoothMarker"/>
        <c:varyColors val="0"/>
        <c:ser>
          <c:idx val="0"/>
          <c:order val="0"/>
          <c:tx>
            <c:v>Qu/hu</c:v>
          </c:tx>
          <c:spPr>
            <a:ln w="25400">
              <a:prstDash val="sysDash"/>
            </a:ln>
          </c:spPr>
          <c:marker>
            <c:symbol val="none"/>
          </c:marker>
          <c:xVal>
            <c:numRef>
              <c:f>MotoUniforme!$C$50:$C$98</c:f>
              <c:numCache>
                <c:formatCode>0.000</c:formatCode>
                <c:ptCount val="49"/>
                <c:pt idx="0">
                  <c:v>0.1</c:v>
                </c:pt>
                <c:pt idx="1">
                  <c:v>0.15000000000000002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0.39999999999999997</c:v>
                </c:pt>
                <c:pt idx="7">
                  <c:v>0.44999999999999996</c:v>
                </c:pt>
                <c:pt idx="8">
                  <c:v>0.49999999999999994</c:v>
                </c:pt>
                <c:pt idx="9">
                  <c:v>0.54999999999999993</c:v>
                </c:pt>
                <c:pt idx="10">
                  <c:v>0.6</c:v>
                </c:pt>
                <c:pt idx="11">
                  <c:v>0.65</c:v>
                </c:pt>
                <c:pt idx="12">
                  <c:v>0.70000000000000007</c:v>
                </c:pt>
                <c:pt idx="13">
                  <c:v>0.75000000000000011</c:v>
                </c:pt>
                <c:pt idx="14">
                  <c:v>0.80000000000000016</c:v>
                </c:pt>
                <c:pt idx="15">
                  <c:v>0.8500000000000002</c:v>
                </c:pt>
                <c:pt idx="16">
                  <c:v>0.90000000000000024</c:v>
                </c:pt>
                <c:pt idx="17">
                  <c:v>0.95000000000000029</c:v>
                </c:pt>
                <c:pt idx="18">
                  <c:v>1.0000000000000002</c:v>
                </c:pt>
                <c:pt idx="19">
                  <c:v>1.0500000000000003</c:v>
                </c:pt>
                <c:pt idx="20">
                  <c:v>1.1000000000000003</c:v>
                </c:pt>
                <c:pt idx="21">
                  <c:v>1.1500000000000004</c:v>
                </c:pt>
                <c:pt idx="22">
                  <c:v>1.2000000000000004</c:v>
                </c:pt>
                <c:pt idx="23">
                  <c:v>1.2500000000000004</c:v>
                </c:pt>
                <c:pt idx="24">
                  <c:v>1.3000000000000005</c:v>
                </c:pt>
                <c:pt idx="25">
                  <c:v>1.3500000000000005</c:v>
                </c:pt>
                <c:pt idx="26">
                  <c:v>1.4000000000000006</c:v>
                </c:pt>
                <c:pt idx="27">
                  <c:v>1.4500000000000006</c:v>
                </c:pt>
                <c:pt idx="28">
                  <c:v>1.5000000000000007</c:v>
                </c:pt>
                <c:pt idx="29">
                  <c:v>1.5500000000000007</c:v>
                </c:pt>
                <c:pt idx="30">
                  <c:v>1.6000000000000008</c:v>
                </c:pt>
                <c:pt idx="31">
                  <c:v>1.6500000000000008</c:v>
                </c:pt>
                <c:pt idx="32">
                  <c:v>1.7000000000000008</c:v>
                </c:pt>
                <c:pt idx="33">
                  <c:v>1.7500000000000009</c:v>
                </c:pt>
                <c:pt idx="34">
                  <c:v>1.8000000000000009</c:v>
                </c:pt>
                <c:pt idx="35">
                  <c:v>1.850000000000001</c:v>
                </c:pt>
                <c:pt idx="36">
                  <c:v>1.900000000000001</c:v>
                </c:pt>
                <c:pt idx="37">
                  <c:v>1.9500000000000011</c:v>
                </c:pt>
                <c:pt idx="38">
                  <c:v>2.0000000000000009</c:v>
                </c:pt>
                <c:pt idx="39">
                  <c:v>2.0500000000000007</c:v>
                </c:pt>
                <c:pt idx="40">
                  <c:v>2.1000000000000005</c:v>
                </c:pt>
                <c:pt idx="41">
                  <c:v>2.1500000000000004</c:v>
                </c:pt>
                <c:pt idx="42">
                  <c:v>2.2000000000000002</c:v>
                </c:pt>
                <c:pt idx="43">
                  <c:v>2.25</c:v>
                </c:pt>
                <c:pt idx="44">
                  <c:v>2.2999999999999998</c:v>
                </c:pt>
                <c:pt idx="45">
                  <c:v>2.3499999999999996</c:v>
                </c:pt>
                <c:pt idx="46">
                  <c:v>2.3999999999999995</c:v>
                </c:pt>
                <c:pt idx="47">
                  <c:v>2.4499999999999993</c:v>
                </c:pt>
                <c:pt idx="48">
                  <c:v>2.4999999999999991</c:v>
                </c:pt>
              </c:numCache>
            </c:numRef>
          </c:xVal>
          <c:yVal>
            <c:numRef>
              <c:f>MotoUniforme!$L$50:$L$99</c:f>
              <c:numCache>
                <c:formatCode>0.000E+00</c:formatCode>
                <c:ptCount val="50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356-4B5A-88D0-2D3EE2FC98E2}"/>
            </c:ext>
          </c:extLst>
        </c:ser>
        <c:ser>
          <c:idx val="2"/>
          <c:order val="1"/>
          <c:tx>
            <c:v>Qc/k</c:v>
          </c:tx>
          <c:spPr>
            <a:ln w="127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MotoUniforme!$C$50:$C$99</c:f>
              <c:numCache>
                <c:formatCode>0.000</c:formatCode>
                <c:ptCount val="50"/>
                <c:pt idx="0">
                  <c:v>0.1</c:v>
                </c:pt>
                <c:pt idx="1">
                  <c:v>0.15000000000000002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0.39999999999999997</c:v>
                </c:pt>
                <c:pt idx="7">
                  <c:v>0.44999999999999996</c:v>
                </c:pt>
                <c:pt idx="8">
                  <c:v>0.49999999999999994</c:v>
                </c:pt>
                <c:pt idx="9">
                  <c:v>0.54999999999999993</c:v>
                </c:pt>
                <c:pt idx="10">
                  <c:v>0.6</c:v>
                </c:pt>
                <c:pt idx="11">
                  <c:v>0.65</c:v>
                </c:pt>
                <c:pt idx="12">
                  <c:v>0.70000000000000007</c:v>
                </c:pt>
                <c:pt idx="13">
                  <c:v>0.75000000000000011</c:v>
                </c:pt>
                <c:pt idx="14">
                  <c:v>0.80000000000000016</c:v>
                </c:pt>
                <c:pt idx="15">
                  <c:v>0.8500000000000002</c:v>
                </c:pt>
                <c:pt idx="16">
                  <c:v>0.90000000000000024</c:v>
                </c:pt>
                <c:pt idx="17">
                  <c:v>0.95000000000000029</c:v>
                </c:pt>
                <c:pt idx="18">
                  <c:v>1.0000000000000002</c:v>
                </c:pt>
                <c:pt idx="19">
                  <c:v>1.0500000000000003</c:v>
                </c:pt>
                <c:pt idx="20">
                  <c:v>1.1000000000000003</c:v>
                </c:pt>
                <c:pt idx="21">
                  <c:v>1.1500000000000004</c:v>
                </c:pt>
                <c:pt idx="22">
                  <c:v>1.2000000000000004</c:v>
                </c:pt>
                <c:pt idx="23">
                  <c:v>1.2500000000000004</c:v>
                </c:pt>
                <c:pt idx="24">
                  <c:v>1.3000000000000005</c:v>
                </c:pt>
                <c:pt idx="25">
                  <c:v>1.3500000000000005</c:v>
                </c:pt>
                <c:pt idx="26">
                  <c:v>1.4000000000000006</c:v>
                </c:pt>
                <c:pt idx="27">
                  <c:v>1.4500000000000006</c:v>
                </c:pt>
                <c:pt idx="28">
                  <c:v>1.5000000000000007</c:v>
                </c:pt>
                <c:pt idx="29">
                  <c:v>1.5500000000000007</c:v>
                </c:pt>
                <c:pt idx="30">
                  <c:v>1.6000000000000008</c:v>
                </c:pt>
                <c:pt idx="31">
                  <c:v>1.6500000000000008</c:v>
                </c:pt>
                <c:pt idx="32">
                  <c:v>1.7000000000000008</c:v>
                </c:pt>
                <c:pt idx="33">
                  <c:v>1.7500000000000009</c:v>
                </c:pt>
                <c:pt idx="34">
                  <c:v>1.8000000000000009</c:v>
                </c:pt>
                <c:pt idx="35">
                  <c:v>1.850000000000001</c:v>
                </c:pt>
                <c:pt idx="36">
                  <c:v>1.900000000000001</c:v>
                </c:pt>
                <c:pt idx="37">
                  <c:v>1.9500000000000011</c:v>
                </c:pt>
                <c:pt idx="38">
                  <c:v>2.0000000000000009</c:v>
                </c:pt>
                <c:pt idx="39">
                  <c:v>2.0500000000000007</c:v>
                </c:pt>
                <c:pt idx="40">
                  <c:v>2.1000000000000005</c:v>
                </c:pt>
                <c:pt idx="41">
                  <c:v>2.1500000000000004</c:v>
                </c:pt>
                <c:pt idx="42">
                  <c:v>2.2000000000000002</c:v>
                </c:pt>
                <c:pt idx="43">
                  <c:v>2.25</c:v>
                </c:pt>
                <c:pt idx="44">
                  <c:v>2.2999999999999998</c:v>
                </c:pt>
                <c:pt idx="45">
                  <c:v>2.3499999999999996</c:v>
                </c:pt>
                <c:pt idx="46">
                  <c:v>2.3999999999999995</c:v>
                </c:pt>
                <c:pt idx="47">
                  <c:v>2.4499999999999993</c:v>
                </c:pt>
                <c:pt idx="48">
                  <c:v>2.4999999999999991</c:v>
                </c:pt>
                <c:pt idx="49">
                  <c:v>2.5499999999999989</c:v>
                </c:pt>
              </c:numCache>
            </c:numRef>
          </c:xVal>
          <c:yVal>
            <c:numRef>
              <c:f>MotoUniforme!$O$50:$O$99</c:f>
              <c:numCache>
                <c:formatCode>General</c:formatCode>
                <c:ptCount val="50"/>
                <c:pt idx="0">
                  <c:v>0.19858795568604948</c:v>
                </c:pt>
                <c:pt idx="1">
                  <c:v>0.36528845714505465</c:v>
                </c:pt>
                <c:pt idx="2">
                  <c:v>0.56310770216300021</c:v>
                </c:pt>
                <c:pt idx="3">
                  <c:v>0.78796173446369822</c:v>
                </c:pt>
                <c:pt idx="4">
                  <c:v>1.0371148014578295</c:v>
                </c:pt>
                <c:pt idx="5">
                  <c:v>1.3085731887491734</c:v>
                </c:pt>
                <c:pt idx="6">
                  <c:v>1.6008036812320721</c:v>
                </c:pt>
                <c:pt idx="7">
                  <c:v>1.9125821570217654</c:v>
                </c:pt>
                <c:pt idx="8">
                  <c:v>2.2429038396526426</c:v>
                </c:pt>
                <c:pt idx="9">
                  <c:v>2.590926241118805</c:v>
                </c:pt>
                <c:pt idx="10">
                  <c:v>2.9559309129210489</c:v>
                </c:pt>
                <c:pt idx="11">
                  <c:v>3.3372967146688075</c:v>
                </c:pt>
                <c:pt idx="12">
                  <c:v>3.7344804927579589</c:v>
                </c:pt>
                <c:pt idx="13">
                  <c:v>4.1470027216808392</c:v>
                </c:pt>
                <c:pt idx="14">
                  <c:v>4.5744365814090537</c:v>
                </c:pt>
                <c:pt idx="15">
                  <c:v>5.0163994816763795</c:v>
                </c:pt>
                <c:pt idx="16">
                  <c:v>5.4725463711603233</c:v>
                </c:pt>
                <c:pt idx="17">
                  <c:v>5.9425643760575992</c:v>
                </c:pt>
                <c:pt idx="18">
                  <c:v>6.4261684469900828</c:v>
                </c:pt>
                <c:pt idx="19">
                  <c:v>6.9230977831057974</c:v>
                </c:pt>
                <c:pt idx="20">
                  <c:v>7.4331128638398303</c:v>
                </c:pt>
                <c:pt idx="21">
                  <c:v>7.9559929618947667</c:v>
                </c:pt>
                <c:pt idx="22">
                  <c:v>8.491534041721458</c:v>
                </c:pt>
                <c:pt idx="23">
                  <c:v>9.0395469700548716</c:v>
                </c:pt>
                <c:pt idx="24">
                  <c:v>9.5998559814577522</c:v>
                </c:pt>
                <c:pt idx="25">
                  <c:v>10.172297354065797</c:v>
                </c:pt>
                <c:pt idx="26">
                  <c:v>10.756718259982071</c:v>
                </c:pt>
                <c:pt idx="27">
                  <c:v>11.352975761846119</c:v>
                </c:pt>
                <c:pt idx="28">
                  <c:v>11.960935932574523</c:v>
                </c:pt>
                <c:pt idx="29">
                  <c:v>12.580473079540784</c:v>
                </c:pt>
                <c:pt idx="30">
                  <c:v>13.211469057827419</c:v>
                </c:pt>
                <c:pt idx="31">
                  <c:v>13.853812659856638</c:v>
                </c:pt>
                <c:pt idx="32">
                  <c:v>14.507399070846848</c:v>
                </c:pt>
                <c:pt idx="33">
                  <c:v>15.17212938126935</c:v>
                </c:pt>
                <c:pt idx="34">
                  <c:v>15.847910148882445</c:v>
                </c:pt>
                <c:pt idx="35">
                  <c:v>16.534653004067007</c:v>
                </c:pt>
                <c:pt idx="36">
                  <c:v>17.232274293130963</c:v>
                </c:pt>
                <c:pt idx="37">
                  <c:v>17.940694755030293</c:v>
                </c:pt>
                <c:pt idx="38">
                  <c:v>18.659839227603232</c:v>
                </c:pt>
                <c:pt idx="39">
                  <c:v>19.389636379956734</c:v>
                </c:pt>
                <c:pt idx="40">
                  <c:v>20.13001846809976</c:v>
                </c:pt>
                <c:pt idx="41">
                  <c:v>20.880921111302719</c:v>
                </c:pt>
                <c:pt idx="42">
                  <c:v>21.642283086987643</c:v>
                </c:pt>
                <c:pt idx="43">
                  <c:v>22.414046142231427</c:v>
                </c:pt>
                <c:pt idx="44">
                  <c:v>23.196154820200682</c:v>
                </c:pt>
                <c:pt idx="45">
                  <c:v>23.988556300040372</c:v>
                </c:pt>
                <c:pt idx="46">
                  <c:v>24.791200248912464</c:v>
                </c:pt>
                <c:pt idx="47">
                  <c:v>25.60403868503218</c:v>
                </c:pt>
                <c:pt idx="48">
                  <c:v>26.427025850679819</c:v>
                </c:pt>
                <c:pt idx="49">
                  <c:v>27.260118094279537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356-4B5A-88D0-2D3EE2FC9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087224"/>
        <c:axId val="188090360"/>
      </c:scatterChart>
      <c:valAx>
        <c:axId val="188087224"/>
        <c:scaling>
          <c:orientation val="minMax"/>
          <c:max val="0.4"/>
        </c:scaling>
        <c:delete val="0"/>
        <c:axPos val="b"/>
        <c:numFmt formatCode="0.0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8090360"/>
        <c:crosses val="autoZero"/>
        <c:crossBetween val="midCat"/>
      </c:valAx>
      <c:valAx>
        <c:axId val="188090360"/>
        <c:scaling>
          <c:orientation val="minMax"/>
          <c:max val="4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80872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3677120256875104"/>
          <c:y val="0.42014034703995334"/>
          <c:w val="0.14948471647229666"/>
          <c:h val="0.15625036453776603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345934441655903E-2"/>
          <c:y val="2.0852621510471108E-2"/>
          <c:w val="0.85185983734508541"/>
          <c:h val="0.87645934314592022"/>
        </c:manualLayout>
      </c:layout>
      <c:scatterChart>
        <c:scatterStyle val="smoothMarker"/>
        <c:varyColors val="0"/>
        <c:ser>
          <c:idx val="1"/>
          <c:order val="0"/>
          <c:tx>
            <c:v>Qu Trapezio</c:v>
          </c:tx>
          <c:spPr>
            <a:ln w="25400">
              <a:prstDash val="lgDash"/>
            </a:ln>
          </c:spPr>
          <c:marker>
            <c:symbol val="none"/>
          </c:marker>
          <c:xVal>
            <c:numRef>
              <c:f>MotoUniforme!$C$50:$C$99</c:f>
              <c:numCache>
                <c:formatCode>0.000</c:formatCode>
                <c:ptCount val="50"/>
                <c:pt idx="0">
                  <c:v>0.1</c:v>
                </c:pt>
                <c:pt idx="1">
                  <c:v>0.15000000000000002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0.39999999999999997</c:v>
                </c:pt>
                <c:pt idx="7">
                  <c:v>0.44999999999999996</c:v>
                </c:pt>
                <c:pt idx="8">
                  <c:v>0.49999999999999994</c:v>
                </c:pt>
                <c:pt idx="9">
                  <c:v>0.54999999999999993</c:v>
                </c:pt>
                <c:pt idx="10">
                  <c:v>0.6</c:v>
                </c:pt>
                <c:pt idx="11">
                  <c:v>0.65</c:v>
                </c:pt>
                <c:pt idx="12">
                  <c:v>0.70000000000000007</c:v>
                </c:pt>
                <c:pt idx="13">
                  <c:v>0.75000000000000011</c:v>
                </c:pt>
                <c:pt idx="14">
                  <c:v>0.80000000000000016</c:v>
                </c:pt>
                <c:pt idx="15">
                  <c:v>0.8500000000000002</c:v>
                </c:pt>
                <c:pt idx="16">
                  <c:v>0.90000000000000024</c:v>
                </c:pt>
                <c:pt idx="17">
                  <c:v>0.95000000000000029</c:v>
                </c:pt>
                <c:pt idx="18">
                  <c:v>1.0000000000000002</c:v>
                </c:pt>
                <c:pt idx="19">
                  <c:v>1.0500000000000003</c:v>
                </c:pt>
                <c:pt idx="20">
                  <c:v>1.1000000000000003</c:v>
                </c:pt>
                <c:pt idx="21">
                  <c:v>1.1500000000000004</c:v>
                </c:pt>
                <c:pt idx="22">
                  <c:v>1.2000000000000004</c:v>
                </c:pt>
                <c:pt idx="23">
                  <c:v>1.2500000000000004</c:v>
                </c:pt>
                <c:pt idx="24">
                  <c:v>1.3000000000000005</c:v>
                </c:pt>
                <c:pt idx="25">
                  <c:v>1.3500000000000005</c:v>
                </c:pt>
                <c:pt idx="26">
                  <c:v>1.4000000000000006</c:v>
                </c:pt>
                <c:pt idx="27">
                  <c:v>1.4500000000000006</c:v>
                </c:pt>
                <c:pt idx="28">
                  <c:v>1.5000000000000007</c:v>
                </c:pt>
                <c:pt idx="29">
                  <c:v>1.5500000000000007</c:v>
                </c:pt>
                <c:pt idx="30">
                  <c:v>1.6000000000000008</c:v>
                </c:pt>
                <c:pt idx="31">
                  <c:v>1.6500000000000008</c:v>
                </c:pt>
                <c:pt idx="32">
                  <c:v>1.7000000000000008</c:v>
                </c:pt>
                <c:pt idx="33">
                  <c:v>1.7500000000000009</c:v>
                </c:pt>
                <c:pt idx="34">
                  <c:v>1.8000000000000009</c:v>
                </c:pt>
                <c:pt idx="35">
                  <c:v>1.850000000000001</c:v>
                </c:pt>
                <c:pt idx="36">
                  <c:v>1.900000000000001</c:v>
                </c:pt>
                <c:pt idx="37">
                  <c:v>1.9500000000000011</c:v>
                </c:pt>
                <c:pt idx="38">
                  <c:v>2.0000000000000009</c:v>
                </c:pt>
                <c:pt idx="39">
                  <c:v>2.0500000000000007</c:v>
                </c:pt>
                <c:pt idx="40">
                  <c:v>2.1000000000000005</c:v>
                </c:pt>
                <c:pt idx="41">
                  <c:v>2.1500000000000004</c:v>
                </c:pt>
                <c:pt idx="42">
                  <c:v>2.2000000000000002</c:v>
                </c:pt>
                <c:pt idx="43">
                  <c:v>2.25</c:v>
                </c:pt>
                <c:pt idx="44">
                  <c:v>2.2999999999999998</c:v>
                </c:pt>
                <c:pt idx="45">
                  <c:v>2.3499999999999996</c:v>
                </c:pt>
                <c:pt idx="46">
                  <c:v>2.3999999999999995</c:v>
                </c:pt>
                <c:pt idx="47">
                  <c:v>2.4499999999999993</c:v>
                </c:pt>
                <c:pt idx="48">
                  <c:v>2.4999999999999991</c:v>
                </c:pt>
                <c:pt idx="49">
                  <c:v>2.5499999999999989</c:v>
                </c:pt>
              </c:numCache>
            </c:numRef>
          </c:xVal>
          <c:yVal>
            <c:numRef>
              <c:f>MotoUniforme!$H$50:$H$99</c:f>
              <c:numCache>
                <c:formatCode>0.000E+00</c:formatCode>
                <c:ptCount val="50"/>
                <c:pt idx="0">
                  <c:v>0.26256640761067107</c:v>
                </c:pt>
                <c:pt idx="1">
                  <c:v>0.47347731781465013</c:v>
                </c:pt>
                <c:pt idx="2">
                  <c:v>0.71621077077646422</c:v>
                </c:pt>
                <c:pt idx="3">
                  <c:v>0.98427374998733708</c:v>
                </c:pt>
                <c:pt idx="4">
                  <c:v>1.2733398459506999</c:v>
                </c:pt>
                <c:pt idx="5">
                  <c:v>1.5803054985984506</c:v>
                </c:pt>
                <c:pt idx="6">
                  <c:v>1.9028381764577178</c:v>
                </c:pt>
                <c:pt idx="7">
                  <c:v>2.2391270558571841</c:v>
                </c:pt>
                <c:pt idx="8">
                  <c:v>2.58773208540652</c:v>
                </c:pt>
                <c:pt idx="9">
                  <c:v>2.9474864375622238</c:v>
                </c:pt>
                <c:pt idx="10">
                  <c:v>3.3174303231602003</c:v>
                </c:pt>
                <c:pt idx="11">
                  <c:v>3.6967643663521743</c:v>
                </c:pt>
                <c:pt idx="12">
                  <c:v>4.0848157617789393</c:v>
                </c:pt>
                <c:pt idx="13">
                  <c:v>4.4810131029053162</c:v>
                </c:pt>
                <c:pt idx="14">
                  <c:v>4.884867275579456</c:v>
                </c:pt>
                <c:pt idx="15">
                  <c:v>5.2959567037513455</c:v>
                </c:pt>
                <c:pt idx="16">
                  <c:v>5.7139157863695988</c:v>
                </c:pt>
                <c:pt idx="17">
                  <c:v>6.1384257179858261</c:v>
                </c:pt>
                <c:pt idx="18">
                  <c:v>6.5692071188143686</c:v>
                </c:pt>
                <c:pt idx="19">
                  <c:v>7.0060140578713108</c:v>
                </c:pt>
                <c:pt idx="20">
                  <c:v>7.4486291621186052</c:v>
                </c:pt>
                <c:pt idx="21">
                  <c:v>7.8968595817207907</c:v>
                </c:pt>
                <c:pt idx="22">
                  <c:v>8.3505336369846539</c:v>
                </c:pt>
                <c:pt idx="23">
                  <c:v>8.8094980130343732</c:v>
                </c:pt>
                <c:pt idx="24">
                  <c:v>9.2736153982397269</c:v>
                </c:pt>
                <c:pt idx="25">
                  <c:v>9.7427624848772822</c:v>
                </c:pt>
                <c:pt idx="26">
                  <c:v>10.216828267537219</c:v>
                </c:pt>
                <c:pt idx="27">
                  <c:v>10.695712587839836</c:v>
                </c:pt>
                <c:pt idx="28">
                  <c:v>11.179324884123115</c:v>
                </c:pt>
                <c:pt idx="29">
                  <c:v>11.667583112643467</c:v>
                </c:pt>
                <c:pt idx="30">
                  <c:v>12.160412813033343</c:v>
                </c:pt>
                <c:pt idx="31">
                  <c:v>12.657746295676166</c:v>
                </c:pt>
                <c:pt idx="32">
                  <c:v>13.159521932584806</c:v>
                </c:pt>
                <c:pt idx="33">
                  <c:v>13.665683536525139</c:v>
                </c:pt>
                <c:pt idx="34">
                  <c:v>14.176179815677441</c:v>
                </c:pt>
                <c:pt idx="35">
                  <c:v>14.690963893203378</c:v>
                </c:pt>
                <c:pt idx="36">
                  <c:v>15.209992882783219</c:v>
                </c:pt>
                <c:pt idx="37">
                  <c:v>15.733227512582079</c:v>
                </c:pt>
                <c:pt idx="38">
                  <c:v>16.260631791255914</c:v>
                </c:pt>
                <c:pt idx="39">
                  <c:v>16.792172710563012</c:v>
                </c:pt>
                <c:pt idx="40">
                  <c:v>17.327819979942849</c:v>
                </c:pt>
                <c:pt idx="41">
                  <c:v>17.867545789090027</c:v>
                </c:pt>
                <c:pt idx="42">
                  <c:v>18.411324595110159</c:v>
                </c:pt>
                <c:pt idx="43">
                  <c:v>18.959132931316088</c:v>
                </c:pt>
                <c:pt idx="44">
                  <c:v>19.510949235121373</c:v>
                </c:pt>
                <c:pt idx="45">
                  <c:v>20.066753692826847</c:v>
                </c:pt>
                <c:pt idx="46">
                  <c:v>20.626528099383751</c:v>
                </c:pt>
                <c:pt idx="47">
                  <c:v>21.19025573146364</c:v>
                </c:pt>
                <c:pt idx="48">
                  <c:v>21.757921232375899</c:v>
                </c:pt>
                <c:pt idx="49">
                  <c:v>22.329510507554893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FD7-4066-98E3-E1356356B13E}"/>
            </c:ext>
          </c:extLst>
        </c:ser>
        <c:ser>
          <c:idx val="3"/>
          <c:order val="1"/>
          <c:tx>
            <c:v>Qc Trapezio</c:v>
          </c:tx>
          <c:spPr>
            <a:ln w="15875"/>
          </c:spPr>
          <c:marker>
            <c:symbol val="none"/>
          </c:marker>
          <c:xVal>
            <c:numRef>
              <c:f>MotoUniforme!$C$50:$C$99</c:f>
              <c:numCache>
                <c:formatCode>0.000</c:formatCode>
                <c:ptCount val="50"/>
                <c:pt idx="0">
                  <c:v>0.1</c:v>
                </c:pt>
                <c:pt idx="1">
                  <c:v>0.15000000000000002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0.39999999999999997</c:v>
                </c:pt>
                <c:pt idx="7">
                  <c:v>0.44999999999999996</c:v>
                </c:pt>
                <c:pt idx="8">
                  <c:v>0.49999999999999994</c:v>
                </c:pt>
                <c:pt idx="9">
                  <c:v>0.54999999999999993</c:v>
                </c:pt>
                <c:pt idx="10">
                  <c:v>0.6</c:v>
                </c:pt>
                <c:pt idx="11">
                  <c:v>0.65</c:v>
                </c:pt>
                <c:pt idx="12">
                  <c:v>0.70000000000000007</c:v>
                </c:pt>
                <c:pt idx="13">
                  <c:v>0.75000000000000011</c:v>
                </c:pt>
                <c:pt idx="14">
                  <c:v>0.80000000000000016</c:v>
                </c:pt>
                <c:pt idx="15">
                  <c:v>0.8500000000000002</c:v>
                </c:pt>
                <c:pt idx="16">
                  <c:v>0.90000000000000024</c:v>
                </c:pt>
                <c:pt idx="17">
                  <c:v>0.95000000000000029</c:v>
                </c:pt>
                <c:pt idx="18">
                  <c:v>1.0000000000000002</c:v>
                </c:pt>
                <c:pt idx="19">
                  <c:v>1.0500000000000003</c:v>
                </c:pt>
                <c:pt idx="20">
                  <c:v>1.1000000000000003</c:v>
                </c:pt>
                <c:pt idx="21">
                  <c:v>1.1500000000000004</c:v>
                </c:pt>
                <c:pt idx="22">
                  <c:v>1.2000000000000004</c:v>
                </c:pt>
                <c:pt idx="23">
                  <c:v>1.2500000000000004</c:v>
                </c:pt>
                <c:pt idx="24">
                  <c:v>1.3000000000000005</c:v>
                </c:pt>
                <c:pt idx="25">
                  <c:v>1.3500000000000005</c:v>
                </c:pt>
                <c:pt idx="26">
                  <c:v>1.4000000000000006</c:v>
                </c:pt>
                <c:pt idx="27">
                  <c:v>1.4500000000000006</c:v>
                </c:pt>
                <c:pt idx="28">
                  <c:v>1.5000000000000007</c:v>
                </c:pt>
                <c:pt idx="29">
                  <c:v>1.5500000000000007</c:v>
                </c:pt>
                <c:pt idx="30">
                  <c:v>1.6000000000000008</c:v>
                </c:pt>
                <c:pt idx="31">
                  <c:v>1.6500000000000008</c:v>
                </c:pt>
                <c:pt idx="32">
                  <c:v>1.7000000000000008</c:v>
                </c:pt>
                <c:pt idx="33">
                  <c:v>1.7500000000000009</c:v>
                </c:pt>
                <c:pt idx="34">
                  <c:v>1.8000000000000009</c:v>
                </c:pt>
                <c:pt idx="35">
                  <c:v>1.850000000000001</c:v>
                </c:pt>
                <c:pt idx="36">
                  <c:v>1.900000000000001</c:v>
                </c:pt>
                <c:pt idx="37">
                  <c:v>1.9500000000000011</c:v>
                </c:pt>
                <c:pt idx="38">
                  <c:v>2.0000000000000009</c:v>
                </c:pt>
                <c:pt idx="39">
                  <c:v>2.0500000000000007</c:v>
                </c:pt>
                <c:pt idx="40">
                  <c:v>2.1000000000000005</c:v>
                </c:pt>
                <c:pt idx="41">
                  <c:v>2.1500000000000004</c:v>
                </c:pt>
                <c:pt idx="42">
                  <c:v>2.2000000000000002</c:v>
                </c:pt>
                <c:pt idx="43">
                  <c:v>2.25</c:v>
                </c:pt>
                <c:pt idx="44">
                  <c:v>2.2999999999999998</c:v>
                </c:pt>
                <c:pt idx="45">
                  <c:v>2.3499999999999996</c:v>
                </c:pt>
                <c:pt idx="46">
                  <c:v>2.3999999999999995</c:v>
                </c:pt>
                <c:pt idx="47">
                  <c:v>2.4499999999999993</c:v>
                </c:pt>
                <c:pt idx="48">
                  <c:v>2.4999999999999991</c:v>
                </c:pt>
                <c:pt idx="49">
                  <c:v>2.5499999999999989</c:v>
                </c:pt>
              </c:numCache>
            </c:numRef>
          </c:xVal>
          <c:yVal>
            <c:numRef>
              <c:f>MotoUniforme!$O$50:$O$99</c:f>
              <c:numCache>
                <c:formatCode>General</c:formatCode>
                <c:ptCount val="50"/>
                <c:pt idx="0">
                  <c:v>0.19858795568604948</c:v>
                </c:pt>
                <c:pt idx="1">
                  <c:v>0.36528845714505465</c:v>
                </c:pt>
                <c:pt idx="2">
                  <c:v>0.56310770216300021</c:v>
                </c:pt>
                <c:pt idx="3">
                  <c:v>0.78796173446369822</c:v>
                </c:pt>
                <c:pt idx="4">
                  <c:v>1.0371148014578295</c:v>
                </c:pt>
                <c:pt idx="5">
                  <c:v>1.3085731887491734</c:v>
                </c:pt>
                <c:pt idx="6">
                  <c:v>1.6008036812320721</c:v>
                </c:pt>
                <c:pt idx="7">
                  <c:v>1.9125821570217654</c:v>
                </c:pt>
                <c:pt idx="8">
                  <c:v>2.2429038396526426</c:v>
                </c:pt>
                <c:pt idx="9">
                  <c:v>2.590926241118805</c:v>
                </c:pt>
                <c:pt idx="10">
                  <c:v>2.9559309129210489</c:v>
                </c:pt>
                <c:pt idx="11">
                  <c:v>3.3372967146688075</c:v>
                </c:pt>
                <c:pt idx="12">
                  <c:v>3.7344804927579589</c:v>
                </c:pt>
                <c:pt idx="13">
                  <c:v>4.1470027216808392</c:v>
                </c:pt>
                <c:pt idx="14">
                  <c:v>4.5744365814090537</c:v>
                </c:pt>
                <c:pt idx="15">
                  <c:v>5.0163994816763795</c:v>
                </c:pt>
                <c:pt idx="16">
                  <c:v>5.4725463711603233</c:v>
                </c:pt>
                <c:pt idx="17">
                  <c:v>5.9425643760575992</c:v>
                </c:pt>
                <c:pt idx="18">
                  <c:v>6.4261684469900828</c:v>
                </c:pt>
                <c:pt idx="19">
                  <c:v>6.9230977831057974</c:v>
                </c:pt>
                <c:pt idx="20">
                  <c:v>7.4331128638398303</c:v>
                </c:pt>
                <c:pt idx="21">
                  <c:v>7.9559929618947667</c:v>
                </c:pt>
                <c:pt idx="22">
                  <c:v>8.491534041721458</c:v>
                </c:pt>
                <c:pt idx="23">
                  <c:v>9.0395469700548716</c:v>
                </c:pt>
                <c:pt idx="24">
                  <c:v>9.5998559814577522</c:v>
                </c:pt>
                <c:pt idx="25">
                  <c:v>10.172297354065797</c:v>
                </c:pt>
                <c:pt idx="26">
                  <c:v>10.756718259982071</c:v>
                </c:pt>
                <c:pt idx="27">
                  <c:v>11.352975761846119</c:v>
                </c:pt>
                <c:pt idx="28">
                  <c:v>11.960935932574523</c:v>
                </c:pt>
                <c:pt idx="29">
                  <c:v>12.580473079540784</c:v>
                </c:pt>
                <c:pt idx="30">
                  <c:v>13.211469057827419</c:v>
                </c:pt>
                <c:pt idx="31">
                  <c:v>13.853812659856638</c:v>
                </c:pt>
                <c:pt idx="32">
                  <c:v>14.507399070846848</c:v>
                </c:pt>
                <c:pt idx="33">
                  <c:v>15.17212938126935</c:v>
                </c:pt>
                <c:pt idx="34">
                  <c:v>15.847910148882445</c:v>
                </c:pt>
                <c:pt idx="35">
                  <c:v>16.534653004067007</c:v>
                </c:pt>
                <c:pt idx="36">
                  <c:v>17.232274293130963</c:v>
                </c:pt>
                <c:pt idx="37">
                  <c:v>17.940694755030293</c:v>
                </c:pt>
                <c:pt idx="38">
                  <c:v>18.659839227603232</c:v>
                </c:pt>
                <c:pt idx="39">
                  <c:v>19.389636379956734</c:v>
                </c:pt>
                <c:pt idx="40">
                  <c:v>20.13001846809976</c:v>
                </c:pt>
                <c:pt idx="41">
                  <c:v>20.880921111302719</c:v>
                </c:pt>
                <c:pt idx="42">
                  <c:v>21.642283086987643</c:v>
                </c:pt>
                <c:pt idx="43">
                  <c:v>22.414046142231427</c:v>
                </c:pt>
                <c:pt idx="44">
                  <c:v>23.196154820200682</c:v>
                </c:pt>
                <c:pt idx="45">
                  <c:v>23.988556300040372</c:v>
                </c:pt>
                <c:pt idx="46">
                  <c:v>24.791200248912464</c:v>
                </c:pt>
                <c:pt idx="47">
                  <c:v>25.60403868503218</c:v>
                </c:pt>
                <c:pt idx="48">
                  <c:v>26.427025850679819</c:v>
                </c:pt>
                <c:pt idx="49">
                  <c:v>27.260118094279537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FD7-4066-98E3-E1356356B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091928"/>
        <c:axId val="188086832"/>
      </c:scatterChart>
      <c:valAx>
        <c:axId val="188091928"/>
        <c:scaling>
          <c:orientation val="minMax"/>
          <c:max val="1.4"/>
        </c:scaling>
        <c:delete val="0"/>
        <c:axPos val="b"/>
        <c:numFmt formatCode="0.00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8086832"/>
        <c:crosses val="autoZero"/>
        <c:crossBetween val="midCat"/>
      </c:valAx>
      <c:valAx>
        <c:axId val="188086832"/>
        <c:scaling>
          <c:orientation val="minMax"/>
          <c:max val="10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80919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515922385916926"/>
          <c:y val="0.56333208220832975"/>
          <c:w val="0.18565698426452673"/>
          <c:h val="0.18578210598621456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33585087578339"/>
          <c:y val="5.512489233419466E-2"/>
          <c:w val="0.84183218169157426"/>
          <c:h val="0.88217651088187621"/>
        </c:manualLayout>
      </c:layout>
      <c:scatterChart>
        <c:scatterStyle val="lineMarker"/>
        <c:varyColors val="0"/>
        <c:ser>
          <c:idx val="0"/>
          <c:order val="0"/>
          <c:tx>
            <c:v>h</c:v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CorrLenta!$C$8:$C$166</c:f>
              <c:numCache>
                <c:formatCode>General</c:formatCode>
                <c:ptCount val="159"/>
                <c:pt idx="0">
                  <c:v>0</c:v>
                </c:pt>
                <c:pt idx="1">
                  <c:v>-0.2</c:v>
                </c:pt>
                <c:pt idx="2">
                  <c:v>-0.4</c:v>
                </c:pt>
                <c:pt idx="3">
                  <c:v>-0.60000000000000009</c:v>
                </c:pt>
                <c:pt idx="4">
                  <c:v>-0.8</c:v>
                </c:pt>
                <c:pt idx="5">
                  <c:v>-1</c:v>
                </c:pt>
                <c:pt idx="6">
                  <c:v>-1.2</c:v>
                </c:pt>
                <c:pt idx="7">
                  <c:v>-1.4</c:v>
                </c:pt>
                <c:pt idx="8">
                  <c:v>-1.5999999999999999</c:v>
                </c:pt>
                <c:pt idx="9">
                  <c:v>-1.7999999999999998</c:v>
                </c:pt>
                <c:pt idx="10">
                  <c:v>-1.9999999999999998</c:v>
                </c:pt>
                <c:pt idx="11">
                  <c:v>-2.1999999999999997</c:v>
                </c:pt>
                <c:pt idx="12">
                  <c:v>-2.4</c:v>
                </c:pt>
                <c:pt idx="13">
                  <c:v>-2.6</c:v>
                </c:pt>
                <c:pt idx="14">
                  <c:v>-2.8000000000000003</c:v>
                </c:pt>
                <c:pt idx="15">
                  <c:v>-3.0000000000000004</c:v>
                </c:pt>
                <c:pt idx="16">
                  <c:v>-3.2000000000000006</c:v>
                </c:pt>
                <c:pt idx="17">
                  <c:v>-3.4000000000000008</c:v>
                </c:pt>
                <c:pt idx="18">
                  <c:v>-3.600000000000001</c:v>
                </c:pt>
                <c:pt idx="19">
                  <c:v>-3.8000000000000012</c:v>
                </c:pt>
                <c:pt idx="20">
                  <c:v>-4.0000000000000009</c:v>
                </c:pt>
                <c:pt idx="21">
                  <c:v>-4.2000000000000011</c:v>
                </c:pt>
                <c:pt idx="22">
                  <c:v>-4.4000000000000012</c:v>
                </c:pt>
                <c:pt idx="23">
                  <c:v>-4.6000000000000014</c:v>
                </c:pt>
                <c:pt idx="24">
                  <c:v>-4.8000000000000016</c:v>
                </c:pt>
                <c:pt idx="25">
                  <c:v>-5.0000000000000018</c:v>
                </c:pt>
                <c:pt idx="26">
                  <c:v>-5.200000000000002</c:v>
                </c:pt>
                <c:pt idx="27">
                  <c:v>-5.4000000000000021</c:v>
                </c:pt>
                <c:pt idx="28">
                  <c:v>-5.6000000000000023</c:v>
                </c:pt>
                <c:pt idx="29">
                  <c:v>-5.8000000000000025</c:v>
                </c:pt>
                <c:pt idx="30">
                  <c:v>-6.0000000000000027</c:v>
                </c:pt>
                <c:pt idx="31">
                  <c:v>-6.2000000000000028</c:v>
                </c:pt>
                <c:pt idx="32">
                  <c:v>-6.400000000000003</c:v>
                </c:pt>
                <c:pt idx="33">
                  <c:v>-6.6000000000000032</c:v>
                </c:pt>
                <c:pt idx="34">
                  <c:v>-6.8000000000000034</c:v>
                </c:pt>
                <c:pt idx="35">
                  <c:v>-7.0000000000000036</c:v>
                </c:pt>
                <c:pt idx="36">
                  <c:v>-7.2000000000000037</c:v>
                </c:pt>
                <c:pt idx="37">
                  <c:v>-7.4000000000000039</c:v>
                </c:pt>
                <c:pt idx="38">
                  <c:v>-7.6000000000000041</c:v>
                </c:pt>
                <c:pt idx="39">
                  <c:v>-7.8000000000000043</c:v>
                </c:pt>
                <c:pt idx="40">
                  <c:v>-8.0000000000000036</c:v>
                </c:pt>
                <c:pt idx="41">
                  <c:v>-8.2000000000000028</c:v>
                </c:pt>
                <c:pt idx="42">
                  <c:v>-8.4000000000000021</c:v>
                </c:pt>
                <c:pt idx="43">
                  <c:v>-8.6000000000000014</c:v>
                </c:pt>
                <c:pt idx="44">
                  <c:v>-8.8000000000000007</c:v>
                </c:pt>
                <c:pt idx="45">
                  <c:v>-9</c:v>
                </c:pt>
                <c:pt idx="46">
                  <c:v>-9.1999999999999993</c:v>
                </c:pt>
                <c:pt idx="47">
                  <c:v>-9.3999999999999986</c:v>
                </c:pt>
                <c:pt idx="48">
                  <c:v>-9.5999999999999979</c:v>
                </c:pt>
                <c:pt idx="49">
                  <c:v>-9.7999999999999972</c:v>
                </c:pt>
                <c:pt idx="50">
                  <c:v>-9.9999999999999964</c:v>
                </c:pt>
                <c:pt idx="51">
                  <c:v>-10.199999999999996</c:v>
                </c:pt>
                <c:pt idx="52">
                  <c:v>-10.399999999999995</c:v>
                </c:pt>
                <c:pt idx="53">
                  <c:v>-10.599999999999994</c:v>
                </c:pt>
                <c:pt idx="54">
                  <c:v>-10.799999999999994</c:v>
                </c:pt>
                <c:pt idx="55">
                  <c:v>-10.999999999999993</c:v>
                </c:pt>
                <c:pt idx="56">
                  <c:v>-11.199999999999992</c:v>
                </c:pt>
                <c:pt idx="57">
                  <c:v>-11.399999999999991</c:v>
                </c:pt>
                <c:pt idx="58">
                  <c:v>-11.599999999999991</c:v>
                </c:pt>
                <c:pt idx="59">
                  <c:v>-11.79999999999999</c:v>
                </c:pt>
                <c:pt idx="60">
                  <c:v>-11.999999999999989</c:v>
                </c:pt>
                <c:pt idx="61">
                  <c:v>-12.199999999999989</c:v>
                </c:pt>
                <c:pt idx="62">
                  <c:v>-12.399999999999988</c:v>
                </c:pt>
                <c:pt idx="63">
                  <c:v>-12.599999999999987</c:v>
                </c:pt>
                <c:pt idx="64">
                  <c:v>-12.799999999999986</c:v>
                </c:pt>
                <c:pt idx="65">
                  <c:v>-12.999999999999986</c:v>
                </c:pt>
                <c:pt idx="66">
                  <c:v>-13.199999999999985</c:v>
                </c:pt>
                <c:pt idx="67">
                  <c:v>-13.399999999999984</c:v>
                </c:pt>
                <c:pt idx="68">
                  <c:v>-13.599999999999984</c:v>
                </c:pt>
                <c:pt idx="69">
                  <c:v>-13.799999999999983</c:v>
                </c:pt>
                <c:pt idx="70">
                  <c:v>-13.999999999999982</c:v>
                </c:pt>
                <c:pt idx="71">
                  <c:v>-14.199999999999982</c:v>
                </c:pt>
                <c:pt idx="72">
                  <c:v>-14.399999999999981</c:v>
                </c:pt>
                <c:pt idx="73">
                  <c:v>-14.59999999999998</c:v>
                </c:pt>
                <c:pt idx="74">
                  <c:v>-14.799999999999979</c:v>
                </c:pt>
                <c:pt idx="75">
                  <c:v>-14.999999999999979</c:v>
                </c:pt>
                <c:pt idx="76">
                  <c:v>-15.199999999999978</c:v>
                </c:pt>
                <c:pt idx="77">
                  <c:v>-15.399999999999977</c:v>
                </c:pt>
                <c:pt idx="78">
                  <c:v>-15.599999999999977</c:v>
                </c:pt>
                <c:pt idx="79">
                  <c:v>-15.799999999999976</c:v>
                </c:pt>
                <c:pt idx="80">
                  <c:v>-15.999999999999975</c:v>
                </c:pt>
                <c:pt idx="81">
                  <c:v>-16.199999999999974</c:v>
                </c:pt>
                <c:pt idx="82">
                  <c:v>-16.399999999999974</c:v>
                </c:pt>
                <c:pt idx="83">
                  <c:v>-16.599999999999973</c:v>
                </c:pt>
                <c:pt idx="84">
                  <c:v>-16.799999999999972</c:v>
                </c:pt>
                <c:pt idx="85">
                  <c:v>-16.999999999999972</c:v>
                </c:pt>
                <c:pt idx="86">
                  <c:v>-17.199999999999971</c:v>
                </c:pt>
                <c:pt idx="87">
                  <c:v>-17.39999999999997</c:v>
                </c:pt>
                <c:pt idx="88">
                  <c:v>-17.599999999999969</c:v>
                </c:pt>
                <c:pt idx="89">
                  <c:v>-17.799999999999969</c:v>
                </c:pt>
                <c:pt idx="90">
                  <c:v>-17.999999999999968</c:v>
                </c:pt>
                <c:pt idx="91">
                  <c:v>-18.199999999999967</c:v>
                </c:pt>
                <c:pt idx="92">
                  <c:v>-18.399999999999967</c:v>
                </c:pt>
                <c:pt idx="93">
                  <c:v>-18.599999999999966</c:v>
                </c:pt>
                <c:pt idx="94">
                  <c:v>-18.799999999999965</c:v>
                </c:pt>
                <c:pt idx="95">
                  <c:v>-18.999999999999964</c:v>
                </c:pt>
                <c:pt idx="96">
                  <c:v>-19.199999999999964</c:v>
                </c:pt>
                <c:pt idx="97">
                  <c:v>-19.399999999999963</c:v>
                </c:pt>
                <c:pt idx="98">
                  <c:v>-19.599999999999962</c:v>
                </c:pt>
                <c:pt idx="99">
                  <c:v>-19.799999999999962</c:v>
                </c:pt>
                <c:pt idx="100">
                  <c:v>-19.999999999999961</c:v>
                </c:pt>
                <c:pt idx="101">
                  <c:v>-20.19999999999996</c:v>
                </c:pt>
                <c:pt idx="102">
                  <c:v>-20.399999999999959</c:v>
                </c:pt>
                <c:pt idx="103">
                  <c:v>-20.599999999999959</c:v>
                </c:pt>
                <c:pt idx="104">
                  <c:v>-20.799999999999958</c:v>
                </c:pt>
                <c:pt idx="105">
                  <c:v>-20.999999999999957</c:v>
                </c:pt>
                <c:pt idx="106">
                  <c:v>-21.199999999999957</c:v>
                </c:pt>
                <c:pt idx="107">
                  <c:v>-21.399999999999956</c:v>
                </c:pt>
                <c:pt idx="108">
                  <c:v>-21.599999999999955</c:v>
                </c:pt>
                <c:pt idx="109">
                  <c:v>-21.799999999999955</c:v>
                </c:pt>
                <c:pt idx="110">
                  <c:v>-21.999999999999954</c:v>
                </c:pt>
                <c:pt idx="111">
                  <c:v>-22.199999999999953</c:v>
                </c:pt>
                <c:pt idx="112">
                  <c:v>-22.399999999999952</c:v>
                </c:pt>
                <c:pt idx="113">
                  <c:v>-22.599999999999952</c:v>
                </c:pt>
                <c:pt idx="114">
                  <c:v>-22.799999999999951</c:v>
                </c:pt>
                <c:pt idx="115">
                  <c:v>-22.99999999999995</c:v>
                </c:pt>
                <c:pt idx="116">
                  <c:v>-23.19999999999995</c:v>
                </c:pt>
                <c:pt idx="117">
                  <c:v>-23.399999999999949</c:v>
                </c:pt>
                <c:pt idx="118">
                  <c:v>-23.599999999999948</c:v>
                </c:pt>
                <c:pt idx="119">
                  <c:v>-23.799999999999947</c:v>
                </c:pt>
                <c:pt idx="120">
                  <c:v>-23.999999999999947</c:v>
                </c:pt>
                <c:pt idx="121">
                  <c:v>-24.199999999999946</c:v>
                </c:pt>
                <c:pt idx="122">
                  <c:v>-24.399999999999945</c:v>
                </c:pt>
                <c:pt idx="123">
                  <c:v>-24.599999999999945</c:v>
                </c:pt>
                <c:pt idx="124">
                  <c:v>-24.799999999999944</c:v>
                </c:pt>
                <c:pt idx="125">
                  <c:v>-24.999999999999943</c:v>
                </c:pt>
                <c:pt idx="126">
                  <c:v>-25.199999999999942</c:v>
                </c:pt>
                <c:pt idx="127">
                  <c:v>-25.399999999999942</c:v>
                </c:pt>
                <c:pt idx="128">
                  <c:v>-25.599999999999941</c:v>
                </c:pt>
                <c:pt idx="129">
                  <c:v>-25.79999999999994</c:v>
                </c:pt>
                <c:pt idx="130">
                  <c:v>-25.99999999999994</c:v>
                </c:pt>
                <c:pt idx="131">
                  <c:v>-26.199999999999939</c:v>
                </c:pt>
                <c:pt idx="132">
                  <c:v>-26.399999999999938</c:v>
                </c:pt>
                <c:pt idx="133">
                  <c:v>-26.599999999999937</c:v>
                </c:pt>
                <c:pt idx="134">
                  <c:v>-26.799999999999937</c:v>
                </c:pt>
                <c:pt idx="135">
                  <c:v>-26.999999999999936</c:v>
                </c:pt>
                <c:pt idx="136">
                  <c:v>-27.199999999999935</c:v>
                </c:pt>
                <c:pt idx="137">
                  <c:v>-27.399999999999935</c:v>
                </c:pt>
                <c:pt idx="138">
                  <c:v>-27.599999999999934</c:v>
                </c:pt>
                <c:pt idx="139">
                  <c:v>-27.799999999999933</c:v>
                </c:pt>
                <c:pt idx="140">
                  <c:v>-27.999999999999932</c:v>
                </c:pt>
                <c:pt idx="141">
                  <c:v>-28.199999999999932</c:v>
                </c:pt>
                <c:pt idx="142">
                  <c:v>-28.399999999999931</c:v>
                </c:pt>
                <c:pt idx="143">
                  <c:v>-28.59999999999993</c:v>
                </c:pt>
                <c:pt idx="144">
                  <c:v>-28.79999999999993</c:v>
                </c:pt>
                <c:pt idx="145">
                  <c:v>-28.999999999999929</c:v>
                </c:pt>
                <c:pt idx="146">
                  <c:v>-29.199999999999928</c:v>
                </c:pt>
                <c:pt idx="147">
                  <c:v>-29.399999999999928</c:v>
                </c:pt>
                <c:pt idx="148">
                  <c:v>-29.599999999999927</c:v>
                </c:pt>
                <c:pt idx="149">
                  <c:v>-29.799999999999926</c:v>
                </c:pt>
                <c:pt idx="150">
                  <c:v>-29.999999999999925</c:v>
                </c:pt>
                <c:pt idx="151">
                  <c:v>-30.199999999999925</c:v>
                </c:pt>
                <c:pt idx="152">
                  <c:v>-30.399999999999924</c:v>
                </c:pt>
                <c:pt idx="153">
                  <c:v>-30.599999999999923</c:v>
                </c:pt>
                <c:pt idx="154">
                  <c:v>-30.799999999999923</c:v>
                </c:pt>
                <c:pt idx="155">
                  <c:v>-30.999999999999922</c:v>
                </c:pt>
                <c:pt idx="156">
                  <c:v>-31.199999999999921</c:v>
                </c:pt>
                <c:pt idx="157">
                  <c:v>-31.39999999999992</c:v>
                </c:pt>
                <c:pt idx="158">
                  <c:v>-31.59999999999992</c:v>
                </c:pt>
              </c:numCache>
            </c:numRef>
          </c:xVal>
          <c:yVal>
            <c:numRef>
              <c:f>CorrLenta!$G$8:$G$166</c:f>
              <c:numCache>
                <c:formatCode>General</c:formatCode>
                <c:ptCount val="159"/>
                <c:pt idx="0">
                  <c:v>0.2</c:v>
                </c:pt>
                <c:pt idx="1">
                  <c:v>0.20045701452599393</c:v>
                </c:pt>
                <c:pt idx="2">
                  <c:v>0.20127239521436202</c:v>
                </c:pt>
                <c:pt idx="3">
                  <c:v>0.20235840970237878</c:v>
                </c:pt>
                <c:pt idx="4">
                  <c:v>0.20363516245025123</c:v>
                </c:pt>
                <c:pt idx="5">
                  <c:v>0.20503107534127757</c:v>
                </c:pt>
                <c:pt idx="6">
                  <c:v>0.20648476490816078</c:v>
                </c:pt>
                <c:pt idx="7">
                  <c:v>0.20794678301029845</c:v>
                </c:pt>
                <c:pt idx="8">
                  <c:v>0.20938032875658913</c:v>
                </c:pt>
                <c:pt idx="9">
                  <c:v>0.21076067192039255</c:v>
                </c:pt>
                <c:pt idx="10">
                  <c:v>0.21207351241684058</c:v>
                </c:pt>
                <c:pt idx="11">
                  <c:v>0.2133127434213557</c:v>
                </c:pt>
                <c:pt idx="12">
                  <c:v>0.21447810023738742</c:v>
                </c:pt>
                <c:pt idx="13">
                  <c:v>0.21557305033813728</c:v>
                </c:pt>
                <c:pt idx="14">
                  <c:v>0.21660311105955618</c:v>
                </c:pt>
                <c:pt idx="15">
                  <c:v>0.2175746378346618</c:v>
                </c:pt>
                <c:pt idx="16">
                  <c:v>0.21849403448981464</c:v>
                </c:pt>
                <c:pt idx="17">
                  <c:v>0.21936729579813563</c:v>
                </c:pt>
                <c:pt idx="18">
                  <c:v>0.22019978626884279</c:v>
                </c:pt>
                <c:pt idx="19">
                  <c:v>0.22099617191728266</c:v>
                </c:pt>
                <c:pt idx="20">
                  <c:v>0.22176044143774917</c:v>
                </c:pt>
                <c:pt idx="21">
                  <c:v>0.22249597267294596</c:v>
                </c:pt>
                <c:pt idx="22">
                  <c:v>0.22320561631252045</c:v>
                </c:pt>
                <c:pt idx="23">
                  <c:v>0.22389178054530084</c:v>
                </c:pt>
                <c:pt idx="24">
                  <c:v>0.22455650833704699</c:v>
                </c:pt>
                <c:pt idx="25">
                  <c:v>0.22520154395299591</c:v>
                </c:pt>
                <c:pt idx="26">
                  <c:v>0.22582838816969222</c:v>
                </c:pt>
                <c:pt idx="27">
                  <c:v>0.22643834305692728</c:v>
                </c:pt>
                <c:pt idx="28">
                  <c:v>0.22703254780240228</c:v>
                </c:pt>
                <c:pt idx="29">
                  <c:v>0.22761200717052768</c:v>
                </c:pt>
                <c:pt idx="30">
                  <c:v>0.22817761406894774</c:v>
                </c:pt>
                <c:pt idx="31">
                  <c:v>0.22873016748224889</c:v>
                </c:pt>
                <c:pt idx="32">
                  <c:v>0.22927038679871625</c:v>
                </c:pt>
                <c:pt idx="33">
                  <c:v>0.22979892334048233</c:v>
                </c:pt>
                <c:pt idx="34">
                  <c:v>0.23031636972475203</c:v>
                </c:pt>
                <c:pt idx="35">
                  <c:v>0.23082326753661558</c:v>
                </c:pt>
                <c:pt idx="36">
                  <c:v>0.23132011367915845</c:v>
                </c:pt>
                <c:pt idx="37">
                  <c:v>0.231807365678875</c:v>
                </c:pt>
                <c:pt idx="38">
                  <c:v>0.23228544615825619</c:v>
                </c:pt>
                <c:pt idx="39">
                  <c:v>0.23275474663788751</c:v>
                </c:pt>
                <c:pt idx="40">
                  <c:v>0.23321563079337623</c:v>
                </c:pt>
                <c:pt idx="41">
                  <c:v>0.2336684372647177</c:v>
                </c:pt>
                <c:pt idx="42">
                  <c:v>0.23411348209487215</c:v>
                </c:pt>
                <c:pt idx="43">
                  <c:v>0.23455106085854416</c:v>
                </c:pt>
                <c:pt idx="44">
                  <c:v>0.23498145053010461</c:v>
                </c:pt>
                <c:pt idx="45">
                  <c:v>0.23540491113030379</c:v>
                </c:pt>
                <c:pt idx="46">
                  <c:v>0.23582168718418514</c:v>
                </c:pt>
                <c:pt idx="47">
                  <c:v>0.23623200901691721</c:v>
                </c:pt>
                <c:pt idx="48">
                  <c:v>0.23663609390973517</c:v>
                </c:pt>
                <c:pt idx="49">
                  <c:v>0.23703414713455651</c:v>
                </c:pt>
                <c:pt idx="50">
                  <c:v>0.23742636288289948</c:v>
                </c:pt>
                <c:pt idx="51">
                  <c:v>0.23781292510233892</c:v>
                </c:pt>
                <c:pt idx="52">
                  <c:v>0.23819400825176651</c:v>
                </c:pt>
                <c:pt idx="53">
                  <c:v>0.2385697779850954</c:v>
                </c:pt>
                <c:pt idx="54">
                  <c:v>0.23894039177169427</c:v>
                </c:pt>
                <c:pt idx="55">
                  <c:v>0.2393059994607008</c:v>
                </c:pt>
                <c:pt idx="56">
                  <c:v>0.23966674379541064</c:v>
                </c:pt>
                <c:pt idx="57">
                  <c:v>0.24002276088313007</c:v>
                </c:pt>
                <c:pt idx="58">
                  <c:v>0.24037418062519378</c:v>
                </c:pt>
                <c:pt idx="59">
                  <c:v>0.24072112711126509</c:v>
                </c:pt>
                <c:pt idx="60">
                  <c:v>0.2410637189815335</c:v>
                </c:pt>
                <c:pt idx="61">
                  <c:v>0.24140206975999301</c:v>
                </c:pt>
                <c:pt idx="62">
                  <c:v>0.24173628816161435</c:v>
                </c:pt>
                <c:pt idx="63">
                  <c:v>0.24206647837590015</c:v>
                </c:pt>
                <c:pt idx="64">
                  <c:v>0.24239274032903416</c:v>
                </c:pt>
                <c:pt idx="65">
                  <c:v>0.24271516992659112</c:v>
                </c:pt>
                <c:pt idx="66">
                  <c:v>0.24303385927856164</c:v>
                </c:pt>
                <c:pt idx="67">
                  <c:v>0.2433488969082602</c:v>
                </c:pt>
                <c:pt idx="68">
                  <c:v>0.24366036794652043</c:v>
                </c:pt>
                <c:pt idx="69">
                  <c:v>0.24396835431243846</c:v>
                </c:pt>
                <c:pt idx="70">
                  <c:v>0.24427293488179772</c:v>
                </c:pt>
                <c:pt idx="71">
                  <c:v>0.24457418564419592</c:v>
                </c:pt>
                <c:pt idx="72">
                  <c:v>0.24487217984979698</c:v>
                </c:pt>
                <c:pt idx="73">
                  <c:v>0.24516698814653942</c:v>
                </c:pt>
                <c:pt idx="74">
                  <c:v>0.24545867870855739</c:v>
                </c:pt>
                <c:pt idx="75">
                  <c:v>0.24574731735649794</c:v>
                </c:pt>
                <c:pt idx="76">
                  <c:v>0.2460329676703559</c:v>
                </c:pt>
                <c:pt idx="77">
                  <c:v>0.2463156910953932</c:v>
                </c:pt>
                <c:pt idx="78">
                  <c:v>0.24659554704165676</c:v>
                </c:pt>
                <c:pt idx="79">
                  <c:v>0.246872592977566</c:v>
                </c:pt>
                <c:pt idx="80">
                  <c:v>0.24714688451799946</c:v>
                </c:pt>
                <c:pt idx="81">
                  <c:v>0.24741847550727339</c:v>
                </c:pt>
                <c:pt idx="82">
                  <c:v>0.24768741809737232</c:v>
                </c:pt>
                <c:pt idx="83">
                  <c:v>0.2479537628217624</c:v>
                </c:pt>
                <c:pt idx="84">
                  <c:v>0.24821755866508979</c:v>
                </c:pt>
                <c:pt idx="85">
                  <c:v>0.24847885312904358</c:v>
                </c:pt>
                <c:pt idx="86">
                  <c:v>0.24873769229463985</c:v>
                </c:pt>
                <c:pt idx="87">
                  <c:v>0.2489941208811626</c:v>
                </c:pt>
                <c:pt idx="88">
                  <c:v>0.24924818230198031</c:v>
                </c:pt>
                <c:pt idx="89">
                  <c:v>0.2494999187174389</c:v>
                </c:pt>
                <c:pt idx="90">
                  <c:v>0.24974937108501777</c:v>
                </c:pt>
                <c:pt idx="91">
                  <c:v>0.24999657920692034</c:v>
                </c:pt>
                <c:pt idx="92">
                  <c:v>0.25024158177525929</c:v>
                </c:pt>
                <c:pt idx="93">
                  <c:v>0.25048441641498365</c:v>
                </c:pt>
                <c:pt idx="94">
                  <c:v>0.25072511972468531</c:v>
                </c:pt>
                <c:pt idx="95">
                  <c:v>0.250963727315412</c:v>
                </c:pt>
                <c:pt idx="96">
                  <c:v>0.25120027384760535</c:v>
                </c:pt>
                <c:pt idx="97">
                  <c:v>0.25143479306627364</c:v>
                </c:pt>
                <c:pt idx="98">
                  <c:v>0.25166731783450252</c:v>
                </c:pt>
                <c:pt idx="99">
                  <c:v>0.25189788016539827</c:v>
                </c:pt>
                <c:pt idx="100">
                  <c:v>0.25212651125255348</c:v>
                </c:pt>
                <c:pt idx="101">
                  <c:v>0.25235324149911764</c:v>
                </c:pt>
                <c:pt idx="102">
                  <c:v>0.25257810054555063</c:v>
                </c:pt>
                <c:pt idx="103">
                  <c:v>0.25280111729613153</c:v>
                </c:pt>
                <c:pt idx="104">
                  <c:v>0.25302231994429042</c:v>
                </c:pt>
                <c:pt idx="105">
                  <c:v>0.25324173599682687</c:v>
                </c:pt>
                <c:pt idx="106">
                  <c:v>0.25345939229707476</c:v>
                </c:pt>
                <c:pt idx="107">
                  <c:v>0.25367531504706864</c:v>
                </c:pt>
                <c:pt idx="108">
                  <c:v>0.25388952982876445</c:v>
                </c:pt>
                <c:pt idx="109">
                  <c:v>0.254102061624363</c:v>
                </c:pt>
                <c:pt idx="110">
                  <c:v>0.25431293483578332</c:v>
                </c:pt>
                <c:pt idx="111">
                  <c:v>0.25452217330332777</c:v>
                </c:pt>
                <c:pt idx="112">
                  <c:v>0.25472980032358117</c:v>
                </c:pt>
                <c:pt idx="113">
                  <c:v>0.25493583866658059</c:v>
                </c:pt>
                <c:pt idx="114">
                  <c:v>0.25514031059229331</c:v>
                </c:pt>
                <c:pt idx="115">
                  <c:v>0.25534323786643587</c:v>
                </c:pt>
                <c:pt idx="116">
                  <c:v>0.25554464177566666</c:v>
                </c:pt>
                <c:pt idx="117">
                  <c:v>0.25574454314218226</c:v>
                </c:pt>
                <c:pt idx="118">
                  <c:v>0.25594296233774566</c:v>
                </c:pt>
                <c:pt idx="119">
                  <c:v>0.25613991929717339</c:v>
                </c:pt>
                <c:pt idx="120">
                  <c:v>0.25633543353130717</c:v>
                </c:pt>
                <c:pt idx="121">
                  <c:v>0.25652952413949359</c:v>
                </c:pt>
                <c:pt idx="122">
                  <c:v>0.25672220982159455</c:v>
                </c:pt>
                <c:pt idx="123">
                  <c:v>0.25691350888955056</c:v>
                </c:pt>
                <c:pt idx="124">
                  <c:v>0.25710343927851603</c:v>
                </c:pt>
                <c:pt idx="125">
                  <c:v>0.25729201855758688</c:v>
                </c:pt>
                <c:pt idx="126">
                  <c:v>0.25747926394013781</c:v>
                </c:pt>
                <c:pt idx="127">
                  <c:v>0.25766519229378698</c:v>
                </c:pt>
                <c:pt idx="128">
                  <c:v>0.25784982015000424</c:v>
                </c:pt>
                <c:pt idx="129">
                  <c:v>0.25803316371337831</c:v>
                </c:pt>
                <c:pt idx="130">
                  <c:v>0.25821523887055781</c:v>
                </c:pt>
                <c:pt idx="131">
                  <c:v>0.25839606119888003</c:v>
                </c:pt>
                <c:pt idx="132">
                  <c:v>0.25857564597470079</c:v>
                </c:pt>
                <c:pt idx="133">
                  <c:v>0.25875400818143734</c:v>
                </c:pt>
                <c:pt idx="134">
                  <c:v>0.25893116251733783</c:v>
                </c:pt>
                <c:pt idx="135">
                  <c:v>0.25910712340298647</c:v>
                </c:pt>
                <c:pt idx="136">
                  <c:v>0.25928190498855747</c:v>
                </c:pt>
                <c:pt idx="137">
                  <c:v>0.25945552116082643</c:v>
                </c:pt>
                <c:pt idx="138">
                  <c:v>0.25962798554994981</c:v>
                </c:pt>
                <c:pt idx="139">
                  <c:v>0.25979931153602176</c:v>
                </c:pt>
                <c:pt idx="140">
                  <c:v>0.25996951225541676</c:v>
                </c:pt>
                <c:pt idx="141">
                  <c:v>0.26013860060692673</c:v>
                </c:pt>
                <c:pt idx="142">
                  <c:v>0.26030658925770161</c:v>
                </c:pt>
                <c:pt idx="143">
                  <c:v>0.26047349064899938</c:v>
                </c:pt>
                <c:pt idx="144">
                  <c:v>0.26063931700175424</c:v>
                </c:pt>
                <c:pt idx="145">
                  <c:v>0.26080408032196967</c:v>
                </c:pt>
                <c:pt idx="146">
                  <c:v>0.2609677924059427</c:v>
                </c:pt>
                <c:pt idx="147">
                  <c:v>0.26113046484532632</c:v>
                </c:pt>
                <c:pt idx="148">
                  <c:v>0.26129210903203537</c:v>
                </c:pt>
                <c:pt idx="149">
                  <c:v>0.26145273616300313</c:v>
                </c:pt>
                <c:pt idx="150">
                  <c:v>0.26161235724479226</c:v>
                </c:pt>
                <c:pt idx="151">
                  <c:v>0.26177098309806746</c:v>
                </c:pt>
                <c:pt idx="152">
                  <c:v>0.26192862436193332</c:v>
                </c:pt>
                <c:pt idx="153">
                  <c:v>0.26208529149814319</c:v>
                </c:pt>
                <c:pt idx="154">
                  <c:v>0.2622409947951837</c:v>
                </c:pt>
                <c:pt idx="155">
                  <c:v>0.26239574437223873</c:v>
                </c:pt>
                <c:pt idx="156">
                  <c:v>0.26254955018303794</c:v>
                </c:pt>
                <c:pt idx="157">
                  <c:v>0.26270242201959371</c:v>
                </c:pt>
                <c:pt idx="158">
                  <c:v>0.26285436951582974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44-481E-AA04-3A14C1708DA8}"/>
            </c:ext>
          </c:extLst>
        </c:ser>
        <c:ser>
          <c:idx val="1"/>
          <c:order val="1"/>
          <c:tx>
            <c:v>h unif</c:v>
          </c:tx>
          <c:spPr>
            <a:ln w="28575" cap="rnd">
              <a:solidFill>
                <a:srgbClr val="0070C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159"/>
              <c:pt idx="0">
                <c:v>0</c:v>
              </c:pt>
              <c:pt idx="1">
                <c:v>-0.25</c:v>
              </c:pt>
              <c:pt idx="2">
                <c:v>-0.5</c:v>
              </c:pt>
              <c:pt idx="3">
                <c:v>-0.75</c:v>
              </c:pt>
              <c:pt idx="4">
                <c:v>-1</c:v>
              </c:pt>
              <c:pt idx="5">
                <c:v>-1.25</c:v>
              </c:pt>
              <c:pt idx="6">
                <c:v>-1.5</c:v>
              </c:pt>
              <c:pt idx="7">
                <c:v>-1.75</c:v>
              </c:pt>
              <c:pt idx="8">
                <c:v>-2</c:v>
              </c:pt>
              <c:pt idx="9">
                <c:v>-2.25</c:v>
              </c:pt>
              <c:pt idx="10">
                <c:v>-2.5</c:v>
              </c:pt>
              <c:pt idx="11">
                <c:v>-2.75</c:v>
              </c:pt>
              <c:pt idx="12">
                <c:v>-3</c:v>
              </c:pt>
              <c:pt idx="13">
                <c:v>-3.25</c:v>
              </c:pt>
              <c:pt idx="14">
                <c:v>-3.5</c:v>
              </c:pt>
              <c:pt idx="15">
                <c:v>-3.75</c:v>
              </c:pt>
              <c:pt idx="16">
                <c:v>-4</c:v>
              </c:pt>
              <c:pt idx="17">
                <c:v>-4.25</c:v>
              </c:pt>
              <c:pt idx="18">
                <c:v>-4.5</c:v>
              </c:pt>
              <c:pt idx="19">
                <c:v>-4.75</c:v>
              </c:pt>
              <c:pt idx="20">
                <c:v>-5</c:v>
              </c:pt>
              <c:pt idx="21">
                <c:v>-5.25</c:v>
              </c:pt>
              <c:pt idx="22">
                <c:v>-5.5</c:v>
              </c:pt>
              <c:pt idx="23">
                <c:v>-5.75</c:v>
              </c:pt>
              <c:pt idx="24">
                <c:v>-6</c:v>
              </c:pt>
              <c:pt idx="25">
                <c:v>-6.25</c:v>
              </c:pt>
              <c:pt idx="26">
                <c:v>-6.5</c:v>
              </c:pt>
              <c:pt idx="27">
                <c:v>-6.75</c:v>
              </c:pt>
              <c:pt idx="28">
                <c:v>-7</c:v>
              </c:pt>
              <c:pt idx="29">
                <c:v>-7.25</c:v>
              </c:pt>
              <c:pt idx="30">
                <c:v>-7.5</c:v>
              </c:pt>
              <c:pt idx="31">
                <c:v>-7.75</c:v>
              </c:pt>
              <c:pt idx="32">
                <c:v>-8</c:v>
              </c:pt>
              <c:pt idx="33">
                <c:v>-8.25</c:v>
              </c:pt>
              <c:pt idx="34">
                <c:v>-8.5</c:v>
              </c:pt>
              <c:pt idx="35">
                <c:v>-8.75</c:v>
              </c:pt>
              <c:pt idx="36">
                <c:v>-9</c:v>
              </c:pt>
              <c:pt idx="37">
                <c:v>-9.25</c:v>
              </c:pt>
              <c:pt idx="38">
                <c:v>-9.5</c:v>
              </c:pt>
              <c:pt idx="39">
                <c:v>-9.75</c:v>
              </c:pt>
              <c:pt idx="40">
                <c:v>-10</c:v>
              </c:pt>
              <c:pt idx="41">
                <c:v>-10.25</c:v>
              </c:pt>
              <c:pt idx="42">
                <c:v>-10.5</c:v>
              </c:pt>
              <c:pt idx="43">
                <c:v>-10.75</c:v>
              </c:pt>
              <c:pt idx="44">
                <c:v>-11</c:v>
              </c:pt>
              <c:pt idx="45">
                <c:v>-11.25</c:v>
              </c:pt>
              <c:pt idx="46">
                <c:v>-11.5</c:v>
              </c:pt>
              <c:pt idx="47">
                <c:v>-11.75</c:v>
              </c:pt>
              <c:pt idx="48">
                <c:v>-12</c:v>
              </c:pt>
              <c:pt idx="49">
                <c:v>-12.25</c:v>
              </c:pt>
              <c:pt idx="50">
                <c:v>-12.5</c:v>
              </c:pt>
              <c:pt idx="51">
                <c:v>-12.75</c:v>
              </c:pt>
              <c:pt idx="52">
                <c:v>-13</c:v>
              </c:pt>
              <c:pt idx="53">
                <c:v>-13.25</c:v>
              </c:pt>
              <c:pt idx="54">
                <c:v>-13.5</c:v>
              </c:pt>
              <c:pt idx="55">
                <c:v>-13.75</c:v>
              </c:pt>
              <c:pt idx="56">
                <c:v>-14</c:v>
              </c:pt>
              <c:pt idx="57">
                <c:v>-14.25</c:v>
              </c:pt>
              <c:pt idx="58">
                <c:v>-14.5</c:v>
              </c:pt>
              <c:pt idx="59">
                <c:v>-14.75</c:v>
              </c:pt>
              <c:pt idx="60">
                <c:v>-15</c:v>
              </c:pt>
              <c:pt idx="61">
                <c:v>-15.25</c:v>
              </c:pt>
              <c:pt idx="62">
                <c:v>-15.5</c:v>
              </c:pt>
              <c:pt idx="63">
                <c:v>-15.75</c:v>
              </c:pt>
              <c:pt idx="64">
                <c:v>-16</c:v>
              </c:pt>
              <c:pt idx="65">
                <c:v>-16.25</c:v>
              </c:pt>
              <c:pt idx="66">
                <c:v>-16.5</c:v>
              </c:pt>
              <c:pt idx="67">
                <c:v>-16.75</c:v>
              </c:pt>
              <c:pt idx="68">
                <c:v>-17</c:v>
              </c:pt>
              <c:pt idx="69">
                <c:v>-17.25</c:v>
              </c:pt>
              <c:pt idx="70">
                <c:v>-17.5</c:v>
              </c:pt>
              <c:pt idx="71">
                <c:v>-17.75</c:v>
              </c:pt>
              <c:pt idx="72">
                <c:v>-18</c:v>
              </c:pt>
              <c:pt idx="73">
                <c:v>-18.25</c:v>
              </c:pt>
              <c:pt idx="74">
                <c:v>-18.5</c:v>
              </c:pt>
              <c:pt idx="75">
                <c:v>-18.75</c:v>
              </c:pt>
              <c:pt idx="76">
                <c:v>-19</c:v>
              </c:pt>
              <c:pt idx="77">
                <c:v>-19.25</c:v>
              </c:pt>
              <c:pt idx="78">
                <c:v>-19.5</c:v>
              </c:pt>
              <c:pt idx="79">
                <c:v>-19.75</c:v>
              </c:pt>
              <c:pt idx="80">
                <c:v>-20</c:v>
              </c:pt>
              <c:pt idx="81">
                <c:v>-20.25</c:v>
              </c:pt>
              <c:pt idx="82">
                <c:v>-20.5</c:v>
              </c:pt>
              <c:pt idx="83">
                <c:v>-20.75</c:v>
              </c:pt>
              <c:pt idx="84">
                <c:v>-21</c:v>
              </c:pt>
              <c:pt idx="85">
                <c:v>-21.25</c:v>
              </c:pt>
              <c:pt idx="86">
                <c:v>-21.5</c:v>
              </c:pt>
              <c:pt idx="87">
                <c:v>-21.75</c:v>
              </c:pt>
              <c:pt idx="88">
                <c:v>-22</c:v>
              </c:pt>
              <c:pt idx="89">
                <c:v>-22.25</c:v>
              </c:pt>
              <c:pt idx="90">
                <c:v>-22.5</c:v>
              </c:pt>
              <c:pt idx="91">
                <c:v>-22.75</c:v>
              </c:pt>
              <c:pt idx="92">
                <c:v>-23</c:v>
              </c:pt>
              <c:pt idx="93">
                <c:v>-23.25</c:v>
              </c:pt>
              <c:pt idx="94">
                <c:v>-23.5</c:v>
              </c:pt>
              <c:pt idx="95">
                <c:v>-23.75</c:v>
              </c:pt>
              <c:pt idx="96">
                <c:v>-24</c:v>
              </c:pt>
              <c:pt idx="97">
                <c:v>-24.25</c:v>
              </c:pt>
              <c:pt idx="98">
                <c:v>-24.5</c:v>
              </c:pt>
              <c:pt idx="99">
                <c:v>-24.75</c:v>
              </c:pt>
              <c:pt idx="100">
                <c:v>-25</c:v>
              </c:pt>
              <c:pt idx="101">
                <c:v>-25.25</c:v>
              </c:pt>
              <c:pt idx="102">
                <c:v>-25.5</c:v>
              </c:pt>
              <c:pt idx="103">
                <c:v>-25.75</c:v>
              </c:pt>
              <c:pt idx="104">
                <c:v>-26</c:v>
              </c:pt>
              <c:pt idx="105">
                <c:v>-26.25</c:v>
              </c:pt>
              <c:pt idx="106">
                <c:v>-26.5</c:v>
              </c:pt>
              <c:pt idx="107">
                <c:v>-26.75</c:v>
              </c:pt>
              <c:pt idx="108">
                <c:v>-27</c:v>
              </c:pt>
              <c:pt idx="109">
                <c:v>-27.25</c:v>
              </c:pt>
              <c:pt idx="110">
                <c:v>-27.5</c:v>
              </c:pt>
              <c:pt idx="111">
                <c:v>-27.75</c:v>
              </c:pt>
              <c:pt idx="112">
                <c:v>-28</c:v>
              </c:pt>
              <c:pt idx="113">
                <c:v>-28.25</c:v>
              </c:pt>
              <c:pt idx="114">
                <c:v>-28.5</c:v>
              </c:pt>
              <c:pt idx="115">
                <c:v>-28.75</c:v>
              </c:pt>
              <c:pt idx="116">
                <c:v>-29</c:v>
              </c:pt>
              <c:pt idx="117">
                <c:v>-29.25</c:v>
              </c:pt>
              <c:pt idx="118">
                <c:v>-29.5</c:v>
              </c:pt>
              <c:pt idx="119">
                <c:v>-29.75</c:v>
              </c:pt>
              <c:pt idx="120">
                <c:v>-30</c:v>
              </c:pt>
              <c:pt idx="121">
                <c:v>-30.25</c:v>
              </c:pt>
              <c:pt idx="122">
                <c:v>-30.5</c:v>
              </c:pt>
              <c:pt idx="123">
                <c:v>-30.75</c:v>
              </c:pt>
              <c:pt idx="124">
                <c:v>-31</c:v>
              </c:pt>
              <c:pt idx="125">
                <c:v>-31.25</c:v>
              </c:pt>
              <c:pt idx="126">
                <c:v>-31.5</c:v>
              </c:pt>
              <c:pt idx="127">
                <c:v>-31.75</c:v>
              </c:pt>
              <c:pt idx="128">
                <c:v>-32</c:v>
              </c:pt>
              <c:pt idx="129">
                <c:v>-32.25</c:v>
              </c:pt>
              <c:pt idx="130">
                <c:v>-32.5</c:v>
              </c:pt>
              <c:pt idx="131">
                <c:v>-32.75</c:v>
              </c:pt>
              <c:pt idx="132">
                <c:v>-33</c:v>
              </c:pt>
              <c:pt idx="133">
                <c:v>-33.25</c:v>
              </c:pt>
              <c:pt idx="134">
                <c:v>-33.5</c:v>
              </c:pt>
              <c:pt idx="135">
                <c:v>-33.75</c:v>
              </c:pt>
              <c:pt idx="136">
                <c:v>-34</c:v>
              </c:pt>
              <c:pt idx="137">
                <c:v>-34.25</c:v>
              </c:pt>
              <c:pt idx="138">
                <c:v>-34.5</c:v>
              </c:pt>
              <c:pt idx="139">
                <c:v>-34.75</c:v>
              </c:pt>
              <c:pt idx="140">
                <c:v>-35</c:v>
              </c:pt>
              <c:pt idx="141">
                <c:v>-35.25</c:v>
              </c:pt>
              <c:pt idx="142">
                <c:v>-35.5</c:v>
              </c:pt>
              <c:pt idx="143">
                <c:v>-35.75</c:v>
              </c:pt>
              <c:pt idx="144">
                <c:v>-36</c:v>
              </c:pt>
              <c:pt idx="145">
                <c:v>-36.25</c:v>
              </c:pt>
              <c:pt idx="146">
                <c:v>-36.5</c:v>
              </c:pt>
              <c:pt idx="147">
                <c:v>-36.75</c:v>
              </c:pt>
              <c:pt idx="148">
                <c:v>-37</c:v>
              </c:pt>
              <c:pt idx="149">
                <c:v>-37.25</c:v>
              </c:pt>
              <c:pt idx="150">
                <c:v>-37.5</c:v>
              </c:pt>
              <c:pt idx="151">
                <c:v>-37.75</c:v>
              </c:pt>
              <c:pt idx="152">
                <c:v>-38</c:v>
              </c:pt>
              <c:pt idx="153">
                <c:v>-38.25</c:v>
              </c:pt>
              <c:pt idx="154">
                <c:v>-38.5</c:v>
              </c:pt>
              <c:pt idx="155">
                <c:v>-38.75</c:v>
              </c:pt>
              <c:pt idx="156">
                <c:v>-39</c:v>
              </c:pt>
              <c:pt idx="157">
                <c:v>-39.25</c:v>
              </c:pt>
              <c:pt idx="158">
                <c:v>-39.5</c:v>
              </c:pt>
            </c:numLit>
          </c:xVal>
          <c:yVal>
            <c:numLit>
              <c:formatCode>General</c:formatCode>
              <c:ptCount val="159"/>
              <c:pt idx="0">
                <c:v>0.28801432746393918</c:v>
              </c:pt>
              <c:pt idx="1">
                <c:v>0.28801432746393918</c:v>
              </c:pt>
              <c:pt idx="2">
                <c:v>0.28801432746393918</c:v>
              </c:pt>
              <c:pt idx="3">
                <c:v>0.28801432746393918</c:v>
              </c:pt>
              <c:pt idx="4">
                <c:v>0.28801432746393918</c:v>
              </c:pt>
              <c:pt idx="5">
                <c:v>0.28801432746393918</c:v>
              </c:pt>
              <c:pt idx="6">
                <c:v>0.28801432746393918</c:v>
              </c:pt>
              <c:pt idx="7">
                <c:v>0.28801432746393918</c:v>
              </c:pt>
              <c:pt idx="8">
                <c:v>0.28801432746393918</c:v>
              </c:pt>
              <c:pt idx="9">
                <c:v>0.28801432746393918</c:v>
              </c:pt>
              <c:pt idx="10">
                <c:v>0.28801432746393918</c:v>
              </c:pt>
              <c:pt idx="11">
                <c:v>0.28801432746393918</c:v>
              </c:pt>
              <c:pt idx="12">
                <c:v>0.28801432746393918</c:v>
              </c:pt>
              <c:pt idx="13">
                <c:v>0.28801432746393918</c:v>
              </c:pt>
              <c:pt idx="14">
                <c:v>0.28801432746393918</c:v>
              </c:pt>
              <c:pt idx="15">
                <c:v>0.28801432746393918</c:v>
              </c:pt>
              <c:pt idx="16">
                <c:v>0.28801432746393918</c:v>
              </c:pt>
              <c:pt idx="17">
                <c:v>0.28801432746393918</c:v>
              </c:pt>
              <c:pt idx="18">
                <c:v>0.28801432746393918</c:v>
              </c:pt>
              <c:pt idx="19">
                <c:v>0.28801432746393918</c:v>
              </c:pt>
              <c:pt idx="20">
                <c:v>0.28801432746393918</c:v>
              </c:pt>
              <c:pt idx="21">
                <c:v>0.28801432746393918</c:v>
              </c:pt>
              <c:pt idx="22">
                <c:v>0.28801432746393918</c:v>
              </c:pt>
              <c:pt idx="23">
                <c:v>0.28801432746393918</c:v>
              </c:pt>
              <c:pt idx="24">
                <c:v>0.28801432746393918</c:v>
              </c:pt>
              <c:pt idx="25">
                <c:v>0.28801432746393918</c:v>
              </c:pt>
              <c:pt idx="26">
                <c:v>0.28801432746393918</c:v>
              </c:pt>
              <c:pt idx="27">
                <c:v>0.28801432746393918</c:v>
              </c:pt>
              <c:pt idx="28">
                <c:v>0.28801432746393918</c:v>
              </c:pt>
              <c:pt idx="29">
                <c:v>0.28801432746393918</c:v>
              </c:pt>
              <c:pt idx="30">
                <c:v>0.28801432746393918</c:v>
              </c:pt>
              <c:pt idx="31">
                <c:v>0.28801432746393918</c:v>
              </c:pt>
              <c:pt idx="32">
                <c:v>0.28801432746393918</c:v>
              </c:pt>
              <c:pt idx="33">
                <c:v>0.28801432746393918</c:v>
              </c:pt>
              <c:pt idx="34">
                <c:v>0.28801432746393918</c:v>
              </c:pt>
              <c:pt idx="35">
                <c:v>0.28801432746393918</c:v>
              </c:pt>
              <c:pt idx="36">
                <c:v>0.28801432746393918</c:v>
              </c:pt>
              <c:pt idx="37">
                <c:v>0.28801432746393918</c:v>
              </c:pt>
              <c:pt idx="38">
                <c:v>0.28801432746393918</c:v>
              </c:pt>
              <c:pt idx="39">
                <c:v>0.28801432746393918</c:v>
              </c:pt>
              <c:pt idx="40">
                <c:v>0.28801432746393918</c:v>
              </c:pt>
              <c:pt idx="41">
                <c:v>0.28801432746393918</c:v>
              </c:pt>
              <c:pt idx="42">
                <c:v>0.28801432746393918</c:v>
              </c:pt>
              <c:pt idx="43">
                <c:v>0.28801432746393918</c:v>
              </c:pt>
              <c:pt idx="44">
                <c:v>0.28801432746393918</c:v>
              </c:pt>
              <c:pt idx="45">
                <c:v>0.28801432746393918</c:v>
              </c:pt>
              <c:pt idx="46">
                <c:v>0.28801432746393918</c:v>
              </c:pt>
              <c:pt idx="47">
                <c:v>0.28801432746393918</c:v>
              </c:pt>
              <c:pt idx="48">
                <c:v>0.28801432746393918</c:v>
              </c:pt>
              <c:pt idx="49">
                <c:v>0.28801432746393918</c:v>
              </c:pt>
              <c:pt idx="50">
                <c:v>0.28801432746393918</c:v>
              </c:pt>
              <c:pt idx="51">
                <c:v>0.28801432746393918</c:v>
              </c:pt>
              <c:pt idx="52">
                <c:v>0.28801432746393918</c:v>
              </c:pt>
              <c:pt idx="53">
                <c:v>0.28801432746393918</c:v>
              </c:pt>
              <c:pt idx="54">
                <c:v>0.28801432746393918</c:v>
              </c:pt>
              <c:pt idx="55">
                <c:v>0.28801432746393918</c:v>
              </c:pt>
              <c:pt idx="56">
                <c:v>0.28801432746393918</c:v>
              </c:pt>
              <c:pt idx="57">
                <c:v>0.28801432746393918</c:v>
              </c:pt>
              <c:pt idx="58">
                <c:v>0.28801432746393918</c:v>
              </c:pt>
              <c:pt idx="59">
                <c:v>0.28801432746393918</c:v>
              </c:pt>
              <c:pt idx="60">
                <c:v>0.28801432746393918</c:v>
              </c:pt>
              <c:pt idx="61">
                <c:v>0.28801432746393918</c:v>
              </c:pt>
              <c:pt idx="62">
                <c:v>0.28801432746393918</c:v>
              </c:pt>
              <c:pt idx="63">
                <c:v>0.28801432746393918</c:v>
              </c:pt>
              <c:pt idx="64">
                <c:v>0.28801432746393918</c:v>
              </c:pt>
              <c:pt idx="65">
                <c:v>0.28801432746393918</c:v>
              </c:pt>
              <c:pt idx="66">
                <c:v>0.28801432746393918</c:v>
              </c:pt>
              <c:pt idx="67">
                <c:v>0.28801432746393918</c:v>
              </c:pt>
              <c:pt idx="68">
                <c:v>0.28801432746393918</c:v>
              </c:pt>
              <c:pt idx="69">
                <c:v>0.28801432746393918</c:v>
              </c:pt>
              <c:pt idx="70">
                <c:v>0.28801432746393918</c:v>
              </c:pt>
              <c:pt idx="71">
                <c:v>0.28801432746393918</c:v>
              </c:pt>
              <c:pt idx="72">
                <c:v>0.28801432746393918</c:v>
              </c:pt>
              <c:pt idx="73">
                <c:v>0.28801432746393918</c:v>
              </c:pt>
              <c:pt idx="74">
                <c:v>0.28801432746393918</c:v>
              </c:pt>
              <c:pt idx="75">
                <c:v>0.28801432746393918</c:v>
              </c:pt>
              <c:pt idx="76">
                <c:v>0.28801432746393918</c:v>
              </c:pt>
              <c:pt idx="77">
                <c:v>0.28801432746393918</c:v>
              </c:pt>
              <c:pt idx="78">
                <c:v>0.28801432746393918</c:v>
              </c:pt>
              <c:pt idx="79">
                <c:v>0.28801432746393918</c:v>
              </c:pt>
              <c:pt idx="80">
                <c:v>0.28801432746393918</c:v>
              </c:pt>
              <c:pt idx="81">
                <c:v>0.28801432746393918</c:v>
              </c:pt>
              <c:pt idx="82">
                <c:v>0.28801432746393918</c:v>
              </c:pt>
              <c:pt idx="83">
                <c:v>0.28801432746393918</c:v>
              </c:pt>
              <c:pt idx="84">
                <c:v>0.28801432746393918</c:v>
              </c:pt>
              <c:pt idx="85">
                <c:v>0.28801432746393918</c:v>
              </c:pt>
              <c:pt idx="86">
                <c:v>0.28801432746393918</c:v>
              </c:pt>
              <c:pt idx="87">
                <c:v>0.28801432746393918</c:v>
              </c:pt>
              <c:pt idx="88">
                <c:v>0.28801432746393918</c:v>
              </c:pt>
              <c:pt idx="89">
                <c:v>0.28801432746393918</c:v>
              </c:pt>
              <c:pt idx="90">
                <c:v>0.28801432746393918</c:v>
              </c:pt>
              <c:pt idx="91">
                <c:v>0.28801432746393918</c:v>
              </c:pt>
              <c:pt idx="92">
                <c:v>0.28801432746393918</c:v>
              </c:pt>
              <c:pt idx="93">
                <c:v>0.28801432746393918</c:v>
              </c:pt>
              <c:pt idx="94">
                <c:v>0.28801432746393918</c:v>
              </c:pt>
              <c:pt idx="95">
                <c:v>0.28801432746393918</c:v>
              </c:pt>
              <c:pt idx="96">
                <c:v>0.28801432746393918</c:v>
              </c:pt>
              <c:pt idx="97">
                <c:v>0.28801432746393918</c:v>
              </c:pt>
              <c:pt idx="98">
                <c:v>0.28801432746393918</c:v>
              </c:pt>
              <c:pt idx="99">
                <c:v>0.28801432746393918</c:v>
              </c:pt>
              <c:pt idx="100">
                <c:v>0.28801432746393918</c:v>
              </c:pt>
              <c:pt idx="101">
                <c:v>0.28801432746393918</c:v>
              </c:pt>
              <c:pt idx="102">
                <c:v>0.28801432746393918</c:v>
              </c:pt>
              <c:pt idx="103">
                <c:v>0.28801432746393918</c:v>
              </c:pt>
              <c:pt idx="104">
                <c:v>0.28801432746393918</c:v>
              </c:pt>
              <c:pt idx="105">
                <c:v>0.28801432746393918</c:v>
              </c:pt>
              <c:pt idx="106">
                <c:v>0.28801432746393918</c:v>
              </c:pt>
              <c:pt idx="107">
                <c:v>0.28801432746393918</c:v>
              </c:pt>
              <c:pt idx="108">
                <c:v>0.28801432746393918</c:v>
              </c:pt>
              <c:pt idx="109">
                <c:v>0.28801432746393918</c:v>
              </c:pt>
              <c:pt idx="110">
                <c:v>0.28801432746393918</c:v>
              </c:pt>
              <c:pt idx="111">
                <c:v>0.28801432746393918</c:v>
              </c:pt>
              <c:pt idx="112">
                <c:v>0.28801432746393918</c:v>
              </c:pt>
              <c:pt idx="113">
                <c:v>0.28801432746393918</c:v>
              </c:pt>
              <c:pt idx="114">
                <c:v>0.28801432746393918</c:v>
              </c:pt>
              <c:pt idx="115">
                <c:v>0.28801432746393918</c:v>
              </c:pt>
              <c:pt idx="116">
                <c:v>0.28801432746393918</c:v>
              </c:pt>
              <c:pt idx="117">
                <c:v>0.28801432746393918</c:v>
              </c:pt>
              <c:pt idx="118">
                <c:v>0.28801432746393918</c:v>
              </c:pt>
              <c:pt idx="119">
                <c:v>0.28801432746393918</c:v>
              </c:pt>
              <c:pt idx="120">
                <c:v>0.28801432746393918</c:v>
              </c:pt>
              <c:pt idx="121">
                <c:v>0.28801432746393918</c:v>
              </c:pt>
              <c:pt idx="122">
                <c:v>0.28801432746393918</c:v>
              </c:pt>
              <c:pt idx="123">
                <c:v>0.28801432746393918</c:v>
              </c:pt>
              <c:pt idx="124">
                <c:v>0.28801432746393918</c:v>
              </c:pt>
              <c:pt idx="125">
                <c:v>0.28801432746393918</c:v>
              </c:pt>
              <c:pt idx="126">
                <c:v>0.28801432746393918</c:v>
              </c:pt>
              <c:pt idx="127">
                <c:v>0.28801432746393918</c:v>
              </c:pt>
              <c:pt idx="128">
                <c:v>0.28801432746393918</c:v>
              </c:pt>
              <c:pt idx="129">
                <c:v>0.28801432746393918</c:v>
              </c:pt>
              <c:pt idx="130">
                <c:v>0.28801432746393918</c:v>
              </c:pt>
              <c:pt idx="131">
                <c:v>0.28801432746393918</c:v>
              </c:pt>
              <c:pt idx="132">
                <c:v>0.28801432746393918</c:v>
              </c:pt>
              <c:pt idx="133">
                <c:v>0.28801432746393918</c:v>
              </c:pt>
              <c:pt idx="134">
                <c:v>0.28801432746393918</c:v>
              </c:pt>
              <c:pt idx="135">
                <c:v>0.28801432746393918</c:v>
              </c:pt>
              <c:pt idx="136">
                <c:v>0.28801432746393918</c:v>
              </c:pt>
              <c:pt idx="137">
                <c:v>0.28801432746393918</c:v>
              </c:pt>
              <c:pt idx="138">
                <c:v>0.28801432746393918</c:v>
              </c:pt>
              <c:pt idx="139">
                <c:v>0.28801432746393918</c:v>
              </c:pt>
              <c:pt idx="140">
                <c:v>0.28801432746393918</c:v>
              </c:pt>
              <c:pt idx="141">
                <c:v>0.28801432746393918</c:v>
              </c:pt>
              <c:pt idx="142">
                <c:v>0.28801432746393918</c:v>
              </c:pt>
              <c:pt idx="143">
                <c:v>0.28801432746393918</c:v>
              </c:pt>
              <c:pt idx="144">
                <c:v>0.28801432746393918</c:v>
              </c:pt>
              <c:pt idx="145">
                <c:v>0.28801432746393918</c:v>
              </c:pt>
              <c:pt idx="146">
                <c:v>0.28801432746393918</c:v>
              </c:pt>
              <c:pt idx="147">
                <c:v>0.28801432746393918</c:v>
              </c:pt>
              <c:pt idx="148">
                <c:v>0.28801432746393918</c:v>
              </c:pt>
              <c:pt idx="149">
                <c:v>0.28801432746393918</c:v>
              </c:pt>
              <c:pt idx="150">
                <c:v>0.28801432746393918</c:v>
              </c:pt>
              <c:pt idx="151">
                <c:v>0.28801432746393918</c:v>
              </c:pt>
              <c:pt idx="152">
                <c:v>0.28801432746393918</c:v>
              </c:pt>
              <c:pt idx="153">
                <c:v>0.28801432746393918</c:v>
              </c:pt>
              <c:pt idx="154">
                <c:v>0.28801432746393918</c:v>
              </c:pt>
              <c:pt idx="155">
                <c:v>0.28801432746393918</c:v>
              </c:pt>
              <c:pt idx="156">
                <c:v>0.28801432746393918</c:v>
              </c:pt>
              <c:pt idx="157">
                <c:v>0.28801432746393918</c:v>
              </c:pt>
              <c:pt idx="158">
                <c:v>0.28801432746393918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8044-481E-AA04-3A14C1708DA8}"/>
            </c:ext>
          </c:extLst>
        </c:ser>
        <c:ser>
          <c:idx val="2"/>
          <c:order val="2"/>
          <c:tx>
            <c:v>k</c:v>
          </c:tx>
          <c:spPr>
            <a:ln w="12700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159"/>
              <c:pt idx="0">
                <c:v>0</c:v>
              </c:pt>
              <c:pt idx="1">
                <c:v>-0.25</c:v>
              </c:pt>
              <c:pt idx="2">
                <c:v>-0.5</c:v>
              </c:pt>
              <c:pt idx="3">
                <c:v>-0.75</c:v>
              </c:pt>
              <c:pt idx="4">
                <c:v>-1</c:v>
              </c:pt>
              <c:pt idx="5">
                <c:v>-1.25</c:v>
              </c:pt>
              <c:pt idx="6">
                <c:v>-1.5</c:v>
              </c:pt>
              <c:pt idx="7">
                <c:v>-1.75</c:v>
              </c:pt>
              <c:pt idx="8">
                <c:v>-2</c:v>
              </c:pt>
              <c:pt idx="9">
                <c:v>-2.25</c:v>
              </c:pt>
              <c:pt idx="10">
                <c:v>-2.5</c:v>
              </c:pt>
              <c:pt idx="11">
                <c:v>-2.75</c:v>
              </c:pt>
              <c:pt idx="12">
                <c:v>-3</c:v>
              </c:pt>
              <c:pt idx="13">
                <c:v>-3.25</c:v>
              </c:pt>
              <c:pt idx="14">
                <c:v>-3.5</c:v>
              </c:pt>
              <c:pt idx="15">
                <c:v>-3.75</c:v>
              </c:pt>
              <c:pt idx="16">
                <c:v>-4</c:v>
              </c:pt>
              <c:pt idx="17">
                <c:v>-4.25</c:v>
              </c:pt>
              <c:pt idx="18">
                <c:v>-4.5</c:v>
              </c:pt>
              <c:pt idx="19">
                <c:v>-4.75</c:v>
              </c:pt>
              <c:pt idx="20">
                <c:v>-5</c:v>
              </c:pt>
              <c:pt idx="21">
                <c:v>-5.25</c:v>
              </c:pt>
              <c:pt idx="22">
                <c:v>-5.5</c:v>
              </c:pt>
              <c:pt idx="23">
                <c:v>-5.75</c:v>
              </c:pt>
              <c:pt idx="24">
                <c:v>-6</c:v>
              </c:pt>
              <c:pt idx="25">
                <c:v>-6.25</c:v>
              </c:pt>
              <c:pt idx="26">
                <c:v>-6.5</c:v>
              </c:pt>
              <c:pt idx="27">
                <c:v>-6.75</c:v>
              </c:pt>
              <c:pt idx="28">
                <c:v>-7</c:v>
              </c:pt>
              <c:pt idx="29">
                <c:v>-7.25</c:v>
              </c:pt>
              <c:pt idx="30">
                <c:v>-7.5</c:v>
              </c:pt>
              <c:pt idx="31">
                <c:v>-7.75</c:v>
              </c:pt>
              <c:pt idx="32">
                <c:v>-8</c:v>
              </c:pt>
              <c:pt idx="33">
                <c:v>-8.25</c:v>
              </c:pt>
              <c:pt idx="34">
                <c:v>-8.5</c:v>
              </c:pt>
              <c:pt idx="35">
                <c:v>-8.75</c:v>
              </c:pt>
              <c:pt idx="36">
                <c:v>-9</c:v>
              </c:pt>
              <c:pt idx="37">
                <c:v>-9.25</c:v>
              </c:pt>
              <c:pt idx="38">
                <c:v>-9.5</c:v>
              </c:pt>
              <c:pt idx="39">
                <c:v>-9.75</c:v>
              </c:pt>
              <c:pt idx="40">
                <c:v>-10</c:v>
              </c:pt>
              <c:pt idx="41">
                <c:v>-10.25</c:v>
              </c:pt>
              <c:pt idx="42">
                <c:v>-10.5</c:v>
              </c:pt>
              <c:pt idx="43">
                <c:v>-10.75</c:v>
              </c:pt>
              <c:pt idx="44">
                <c:v>-11</c:v>
              </c:pt>
              <c:pt idx="45">
                <c:v>-11.25</c:v>
              </c:pt>
              <c:pt idx="46">
                <c:v>-11.5</c:v>
              </c:pt>
              <c:pt idx="47">
                <c:v>-11.75</c:v>
              </c:pt>
              <c:pt idx="48">
                <c:v>-12</c:v>
              </c:pt>
              <c:pt idx="49">
                <c:v>-12.25</c:v>
              </c:pt>
              <c:pt idx="50">
                <c:v>-12.5</c:v>
              </c:pt>
              <c:pt idx="51">
                <c:v>-12.75</c:v>
              </c:pt>
              <c:pt idx="52">
                <c:v>-13</c:v>
              </c:pt>
              <c:pt idx="53">
                <c:v>-13.25</c:v>
              </c:pt>
              <c:pt idx="54">
                <c:v>-13.5</c:v>
              </c:pt>
              <c:pt idx="55">
                <c:v>-13.75</c:v>
              </c:pt>
              <c:pt idx="56">
                <c:v>-14</c:v>
              </c:pt>
              <c:pt idx="57">
                <c:v>-14.25</c:v>
              </c:pt>
              <c:pt idx="58">
                <c:v>-14.5</c:v>
              </c:pt>
              <c:pt idx="59">
                <c:v>-14.75</c:v>
              </c:pt>
              <c:pt idx="60">
                <c:v>-15</c:v>
              </c:pt>
              <c:pt idx="61">
                <c:v>-15.25</c:v>
              </c:pt>
              <c:pt idx="62">
                <c:v>-15.5</c:v>
              </c:pt>
              <c:pt idx="63">
                <c:v>-15.75</c:v>
              </c:pt>
              <c:pt idx="64">
                <c:v>-16</c:v>
              </c:pt>
              <c:pt idx="65">
                <c:v>-16.25</c:v>
              </c:pt>
              <c:pt idx="66">
                <c:v>-16.5</c:v>
              </c:pt>
              <c:pt idx="67">
                <c:v>-16.75</c:v>
              </c:pt>
              <c:pt idx="68">
                <c:v>-17</c:v>
              </c:pt>
              <c:pt idx="69">
                <c:v>-17.25</c:v>
              </c:pt>
              <c:pt idx="70">
                <c:v>-17.5</c:v>
              </c:pt>
              <c:pt idx="71">
                <c:v>-17.75</c:v>
              </c:pt>
              <c:pt idx="72">
                <c:v>-18</c:v>
              </c:pt>
              <c:pt idx="73">
                <c:v>-18.25</c:v>
              </c:pt>
              <c:pt idx="74">
                <c:v>-18.5</c:v>
              </c:pt>
              <c:pt idx="75">
                <c:v>-18.75</c:v>
              </c:pt>
              <c:pt idx="76">
                <c:v>-19</c:v>
              </c:pt>
              <c:pt idx="77">
                <c:v>-19.25</c:v>
              </c:pt>
              <c:pt idx="78">
                <c:v>-19.5</c:v>
              </c:pt>
              <c:pt idx="79">
                <c:v>-19.75</c:v>
              </c:pt>
              <c:pt idx="80">
                <c:v>-20</c:v>
              </c:pt>
              <c:pt idx="81">
                <c:v>-20.25</c:v>
              </c:pt>
              <c:pt idx="82">
                <c:v>-20.5</c:v>
              </c:pt>
              <c:pt idx="83">
                <c:v>-20.75</c:v>
              </c:pt>
              <c:pt idx="84">
                <c:v>-21</c:v>
              </c:pt>
              <c:pt idx="85">
                <c:v>-21.25</c:v>
              </c:pt>
              <c:pt idx="86">
                <c:v>-21.5</c:v>
              </c:pt>
              <c:pt idx="87">
                <c:v>-21.75</c:v>
              </c:pt>
              <c:pt idx="88">
                <c:v>-22</c:v>
              </c:pt>
              <c:pt idx="89">
                <c:v>-22.25</c:v>
              </c:pt>
              <c:pt idx="90">
                <c:v>-22.5</c:v>
              </c:pt>
              <c:pt idx="91">
                <c:v>-22.75</c:v>
              </c:pt>
              <c:pt idx="92">
                <c:v>-23</c:v>
              </c:pt>
              <c:pt idx="93">
                <c:v>-23.25</c:v>
              </c:pt>
              <c:pt idx="94">
                <c:v>-23.5</c:v>
              </c:pt>
              <c:pt idx="95">
                <c:v>-23.75</c:v>
              </c:pt>
              <c:pt idx="96">
                <c:v>-24</c:v>
              </c:pt>
              <c:pt idx="97">
                <c:v>-24.25</c:v>
              </c:pt>
              <c:pt idx="98">
                <c:v>-24.5</c:v>
              </c:pt>
              <c:pt idx="99">
                <c:v>-24.75</c:v>
              </c:pt>
              <c:pt idx="100">
                <c:v>-25</c:v>
              </c:pt>
              <c:pt idx="101">
                <c:v>-25.25</c:v>
              </c:pt>
              <c:pt idx="102">
                <c:v>-25.5</c:v>
              </c:pt>
              <c:pt idx="103">
                <c:v>-25.75</c:v>
              </c:pt>
              <c:pt idx="104">
                <c:v>-26</c:v>
              </c:pt>
              <c:pt idx="105">
                <c:v>-26.25</c:v>
              </c:pt>
              <c:pt idx="106">
                <c:v>-26.5</c:v>
              </c:pt>
              <c:pt idx="107">
                <c:v>-26.75</c:v>
              </c:pt>
              <c:pt idx="108">
                <c:v>-27</c:v>
              </c:pt>
              <c:pt idx="109">
                <c:v>-27.25</c:v>
              </c:pt>
              <c:pt idx="110">
                <c:v>-27.5</c:v>
              </c:pt>
              <c:pt idx="111">
                <c:v>-27.75</c:v>
              </c:pt>
              <c:pt idx="112">
                <c:v>-28</c:v>
              </c:pt>
              <c:pt idx="113">
                <c:v>-28.25</c:v>
              </c:pt>
              <c:pt idx="114">
                <c:v>-28.5</c:v>
              </c:pt>
              <c:pt idx="115">
                <c:v>-28.75</c:v>
              </c:pt>
              <c:pt idx="116">
                <c:v>-29</c:v>
              </c:pt>
              <c:pt idx="117">
                <c:v>-29.25</c:v>
              </c:pt>
              <c:pt idx="118">
                <c:v>-29.5</c:v>
              </c:pt>
              <c:pt idx="119">
                <c:v>-29.75</c:v>
              </c:pt>
              <c:pt idx="120">
                <c:v>-30</c:v>
              </c:pt>
              <c:pt idx="121">
                <c:v>-30.25</c:v>
              </c:pt>
              <c:pt idx="122">
                <c:v>-30.5</c:v>
              </c:pt>
              <c:pt idx="123">
                <c:v>-30.75</c:v>
              </c:pt>
              <c:pt idx="124">
                <c:v>-31</c:v>
              </c:pt>
              <c:pt idx="125">
                <c:v>-31.25</c:v>
              </c:pt>
              <c:pt idx="126">
                <c:v>-31.5</c:v>
              </c:pt>
              <c:pt idx="127">
                <c:v>-31.75</c:v>
              </c:pt>
              <c:pt idx="128">
                <c:v>-32</c:v>
              </c:pt>
              <c:pt idx="129">
                <c:v>-32.25</c:v>
              </c:pt>
              <c:pt idx="130">
                <c:v>-32.5</c:v>
              </c:pt>
              <c:pt idx="131">
                <c:v>-32.75</c:v>
              </c:pt>
              <c:pt idx="132">
                <c:v>-33</c:v>
              </c:pt>
              <c:pt idx="133">
                <c:v>-33.25</c:v>
              </c:pt>
              <c:pt idx="134">
                <c:v>-33.5</c:v>
              </c:pt>
              <c:pt idx="135">
                <c:v>-33.75</c:v>
              </c:pt>
              <c:pt idx="136">
                <c:v>-34</c:v>
              </c:pt>
              <c:pt idx="137">
                <c:v>-34.25</c:v>
              </c:pt>
              <c:pt idx="138">
                <c:v>-34.5</c:v>
              </c:pt>
              <c:pt idx="139">
                <c:v>-34.75</c:v>
              </c:pt>
              <c:pt idx="140">
                <c:v>-35</c:v>
              </c:pt>
              <c:pt idx="141">
                <c:v>-35.25</c:v>
              </c:pt>
              <c:pt idx="142">
                <c:v>-35.5</c:v>
              </c:pt>
              <c:pt idx="143">
                <c:v>-35.75</c:v>
              </c:pt>
              <c:pt idx="144">
                <c:v>-36</c:v>
              </c:pt>
              <c:pt idx="145">
                <c:v>-36.25</c:v>
              </c:pt>
              <c:pt idx="146">
                <c:v>-36.5</c:v>
              </c:pt>
              <c:pt idx="147">
                <c:v>-36.75</c:v>
              </c:pt>
              <c:pt idx="148">
                <c:v>-37</c:v>
              </c:pt>
              <c:pt idx="149">
                <c:v>-37.25</c:v>
              </c:pt>
              <c:pt idx="150">
                <c:v>-37.5</c:v>
              </c:pt>
              <c:pt idx="151">
                <c:v>-37.75</c:v>
              </c:pt>
              <c:pt idx="152">
                <c:v>-38</c:v>
              </c:pt>
              <c:pt idx="153">
                <c:v>-38.25</c:v>
              </c:pt>
              <c:pt idx="154">
                <c:v>-38.5</c:v>
              </c:pt>
              <c:pt idx="155">
                <c:v>-38.75</c:v>
              </c:pt>
              <c:pt idx="156">
                <c:v>-39</c:v>
              </c:pt>
              <c:pt idx="157">
                <c:v>-39.25</c:v>
              </c:pt>
              <c:pt idx="158">
                <c:v>-39.5</c:v>
              </c:pt>
            </c:numLit>
          </c:xVal>
          <c:yVal>
            <c:numLit>
              <c:formatCode>General</c:formatCode>
              <c:ptCount val="159"/>
              <c:pt idx="0">
                <c:v>0.18538318385384195</c:v>
              </c:pt>
              <c:pt idx="1">
                <c:v>0.18538318385384195</c:v>
              </c:pt>
              <c:pt idx="2">
                <c:v>0.18538318385384195</c:v>
              </c:pt>
              <c:pt idx="3">
                <c:v>0.18538318385384195</c:v>
              </c:pt>
              <c:pt idx="4">
                <c:v>0.18538318385384195</c:v>
              </c:pt>
              <c:pt idx="5">
                <c:v>0.18538318385384195</c:v>
              </c:pt>
              <c:pt idx="6">
                <c:v>0.18538318385384195</c:v>
              </c:pt>
              <c:pt idx="7">
                <c:v>0.18538318385384195</c:v>
              </c:pt>
              <c:pt idx="8">
                <c:v>0.18538318385384195</c:v>
              </c:pt>
              <c:pt idx="9">
                <c:v>0.18538318385384195</c:v>
              </c:pt>
              <c:pt idx="10">
                <c:v>0.18538318385384195</c:v>
              </c:pt>
              <c:pt idx="11">
                <c:v>0.18538318385384195</c:v>
              </c:pt>
              <c:pt idx="12">
                <c:v>0.18538318385384195</c:v>
              </c:pt>
              <c:pt idx="13">
                <c:v>0.18538318385384195</c:v>
              </c:pt>
              <c:pt idx="14">
                <c:v>0.18538318385384195</c:v>
              </c:pt>
              <c:pt idx="15">
                <c:v>0.18538318385384195</c:v>
              </c:pt>
              <c:pt idx="16">
                <c:v>0.18538318385384195</c:v>
              </c:pt>
              <c:pt idx="17">
                <c:v>0.18538318385384195</c:v>
              </c:pt>
              <c:pt idx="18">
                <c:v>0.18538318385384195</c:v>
              </c:pt>
              <c:pt idx="19">
                <c:v>0.18538318385384195</c:v>
              </c:pt>
              <c:pt idx="20">
                <c:v>0.18538318385384195</c:v>
              </c:pt>
              <c:pt idx="21">
                <c:v>0.18538318385384195</c:v>
              </c:pt>
              <c:pt idx="22">
                <c:v>0.18538318385384195</c:v>
              </c:pt>
              <c:pt idx="23">
                <c:v>0.18538318385384195</c:v>
              </c:pt>
              <c:pt idx="24">
                <c:v>0.18538318385384195</c:v>
              </c:pt>
              <c:pt idx="25">
                <c:v>0.18538318385384195</c:v>
              </c:pt>
              <c:pt idx="26">
                <c:v>0.18538318385384195</c:v>
              </c:pt>
              <c:pt idx="27">
                <c:v>0.18538318385384195</c:v>
              </c:pt>
              <c:pt idx="28">
                <c:v>0.18538318385384195</c:v>
              </c:pt>
              <c:pt idx="29">
                <c:v>0.18538318385384195</c:v>
              </c:pt>
              <c:pt idx="30">
                <c:v>0.18538318385384195</c:v>
              </c:pt>
              <c:pt idx="31">
                <c:v>0.18538318385384195</c:v>
              </c:pt>
              <c:pt idx="32">
                <c:v>0.18538318385384195</c:v>
              </c:pt>
              <c:pt idx="33">
                <c:v>0.18538318385384195</c:v>
              </c:pt>
              <c:pt idx="34">
                <c:v>0.18538318385384195</c:v>
              </c:pt>
              <c:pt idx="35">
                <c:v>0.18538318385384195</c:v>
              </c:pt>
              <c:pt idx="36">
                <c:v>0.18538318385384195</c:v>
              </c:pt>
              <c:pt idx="37">
                <c:v>0.18538318385384195</c:v>
              </c:pt>
              <c:pt idx="38">
                <c:v>0.18538318385384195</c:v>
              </c:pt>
              <c:pt idx="39">
                <c:v>0.18538318385384195</c:v>
              </c:pt>
              <c:pt idx="40">
                <c:v>0.18538318385384195</c:v>
              </c:pt>
              <c:pt idx="41">
                <c:v>0.18538318385384195</c:v>
              </c:pt>
              <c:pt idx="42">
                <c:v>0.18538318385384195</c:v>
              </c:pt>
              <c:pt idx="43">
                <c:v>0.18538318385384195</c:v>
              </c:pt>
              <c:pt idx="44">
                <c:v>0.18538318385384195</c:v>
              </c:pt>
              <c:pt idx="45">
                <c:v>0.18538318385384195</c:v>
              </c:pt>
              <c:pt idx="46">
                <c:v>0.18538318385384195</c:v>
              </c:pt>
              <c:pt idx="47">
                <c:v>0.18538318385384195</c:v>
              </c:pt>
              <c:pt idx="48">
                <c:v>0.18538318385384195</c:v>
              </c:pt>
              <c:pt idx="49">
                <c:v>0.18538318385384195</c:v>
              </c:pt>
              <c:pt idx="50">
                <c:v>0.18538318385384195</c:v>
              </c:pt>
              <c:pt idx="51">
                <c:v>0.18538318385384195</c:v>
              </c:pt>
              <c:pt idx="52">
                <c:v>0.18538318385384195</c:v>
              </c:pt>
              <c:pt idx="53">
                <c:v>0.18538318385384195</c:v>
              </c:pt>
              <c:pt idx="54">
                <c:v>0.18538318385384195</c:v>
              </c:pt>
              <c:pt idx="55">
                <c:v>0.18538318385384195</c:v>
              </c:pt>
              <c:pt idx="56">
                <c:v>0.18538318385384195</c:v>
              </c:pt>
              <c:pt idx="57">
                <c:v>0.18538318385384195</c:v>
              </c:pt>
              <c:pt idx="58">
                <c:v>0.18538318385384195</c:v>
              </c:pt>
              <c:pt idx="59">
                <c:v>0.18538318385384195</c:v>
              </c:pt>
              <c:pt idx="60">
                <c:v>0.18538318385384195</c:v>
              </c:pt>
              <c:pt idx="61">
                <c:v>0.18538318385384195</c:v>
              </c:pt>
              <c:pt idx="62">
                <c:v>0.18538318385384195</c:v>
              </c:pt>
              <c:pt idx="63">
                <c:v>0.18538318385384195</c:v>
              </c:pt>
              <c:pt idx="64">
                <c:v>0.18538318385384195</c:v>
              </c:pt>
              <c:pt idx="65">
                <c:v>0.18538318385384195</c:v>
              </c:pt>
              <c:pt idx="66">
                <c:v>0.18538318385384195</c:v>
              </c:pt>
              <c:pt idx="67">
                <c:v>0.18538318385384195</c:v>
              </c:pt>
              <c:pt idx="68">
                <c:v>0.18538318385384195</c:v>
              </c:pt>
              <c:pt idx="69">
                <c:v>0.18538318385384195</c:v>
              </c:pt>
              <c:pt idx="70">
                <c:v>0.18538318385384195</c:v>
              </c:pt>
              <c:pt idx="71">
                <c:v>0.18538318385384195</c:v>
              </c:pt>
              <c:pt idx="72">
                <c:v>0.18538318385384195</c:v>
              </c:pt>
              <c:pt idx="73">
                <c:v>0.18538318385384195</c:v>
              </c:pt>
              <c:pt idx="74">
                <c:v>0.18538318385384195</c:v>
              </c:pt>
              <c:pt idx="75">
                <c:v>0.18538318385384195</c:v>
              </c:pt>
              <c:pt idx="76">
                <c:v>0.18538318385384195</c:v>
              </c:pt>
              <c:pt idx="77">
                <c:v>0.18538318385384195</c:v>
              </c:pt>
              <c:pt idx="78">
                <c:v>0.18538318385384195</c:v>
              </c:pt>
              <c:pt idx="79">
                <c:v>0.18538318385384195</c:v>
              </c:pt>
              <c:pt idx="80">
                <c:v>0.18538318385384195</c:v>
              </c:pt>
              <c:pt idx="81">
                <c:v>0.18538318385384195</c:v>
              </c:pt>
              <c:pt idx="82">
                <c:v>0.18538318385384195</c:v>
              </c:pt>
              <c:pt idx="83">
                <c:v>0.18538318385384195</c:v>
              </c:pt>
              <c:pt idx="84">
                <c:v>0.18538318385384195</c:v>
              </c:pt>
              <c:pt idx="85">
                <c:v>0.18538318385384195</c:v>
              </c:pt>
              <c:pt idx="86">
                <c:v>0.18538318385384195</c:v>
              </c:pt>
              <c:pt idx="87">
                <c:v>0.18538318385384195</c:v>
              </c:pt>
              <c:pt idx="88">
                <c:v>0.18538318385384195</c:v>
              </c:pt>
              <c:pt idx="89">
                <c:v>0.18538318385384195</c:v>
              </c:pt>
              <c:pt idx="90">
                <c:v>0.18538318385384195</c:v>
              </c:pt>
              <c:pt idx="91">
                <c:v>0.18538318385384195</c:v>
              </c:pt>
              <c:pt idx="92">
                <c:v>0.18538318385384195</c:v>
              </c:pt>
              <c:pt idx="93">
                <c:v>0.18538318385384195</c:v>
              </c:pt>
              <c:pt idx="94">
                <c:v>0.18538318385384195</c:v>
              </c:pt>
              <c:pt idx="95">
                <c:v>0.18538318385384195</c:v>
              </c:pt>
              <c:pt idx="96">
                <c:v>0.18538318385384195</c:v>
              </c:pt>
              <c:pt idx="97">
                <c:v>0.18538318385384195</c:v>
              </c:pt>
              <c:pt idx="98">
                <c:v>0.18538318385384195</c:v>
              </c:pt>
              <c:pt idx="99">
                <c:v>0.18538318385384195</c:v>
              </c:pt>
              <c:pt idx="100">
                <c:v>0.18538318385384195</c:v>
              </c:pt>
              <c:pt idx="101">
                <c:v>0.18538318385384195</c:v>
              </c:pt>
              <c:pt idx="102">
                <c:v>0.18538318385384195</c:v>
              </c:pt>
              <c:pt idx="103">
                <c:v>0.18538318385384195</c:v>
              </c:pt>
              <c:pt idx="104">
                <c:v>0.18538318385384195</c:v>
              </c:pt>
              <c:pt idx="105">
                <c:v>0.18538318385384195</c:v>
              </c:pt>
              <c:pt idx="106">
                <c:v>0.18538318385384195</c:v>
              </c:pt>
              <c:pt idx="107">
                <c:v>0.18538318385384195</c:v>
              </c:pt>
              <c:pt idx="108">
                <c:v>0.18538318385384195</c:v>
              </c:pt>
              <c:pt idx="109">
                <c:v>0.18538318385384195</c:v>
              </c:pt>
              <c:pt idx="110">
                <c:v>0.18538318385384195</c:v>
              </c:pt>
              <c:pt idx="111">
                <c:v>0.18538318385384195</c:v>
              </c:pt>
              <c:pt idx="112">
                <c:v>0.18538318385384195</c:v>
              </c:pt>
              <c:pt idx="113">
                <c:v>0.18538318385384195</c:v>
              </c:pt>
              <c:pt idx="114">
                <c:v>0.18538318385384195</c:v>
              </c:pt>
              <c:pt idx="115">
                <c:v>0.18538318385384195</c:v>
              </c:pt>
              <c:pt idx="116">
                <c:v>0.18538318385384195</c:v>
              </c:pt>
              <c:pt idx="117">
                <c:v>0.18538318385384195</c:v>
              </c:pt>
              <c:pt idx="118">
                <c:v>0.18538318385384195</c:v>
              </c:pt>
              <c:pt idx="119">
                <c:v>0.18538318385384195</c:v>
              </c:pt>
              <c:pt idx="120">
                <c:v>0.18538318385384195</c:v>
              </c:pt>
              <c:pt idx="121">
                <c:v>0.18538318385384195</c:v>
              </c:pt>
              <c:pt idx="122">
                <c:v>0.18538318385384195</c:v>
              </c:pt>
              <c:pt idx="123">
                <c:v>0.18538318385384195</c:v>
              </c:pt>
              <c:pt idx="124">
                <c:v>0.18538318385384195</c:v>
              </c:pt>
              <c:pt idx="125">
                <c:v>0.18538318385384195</c:v>
              </c:pt>
              <c:pt idx="126">
                <c:v>0.18538318385384195</c:v>
              </c:pt>
              <c:pt idx="127">
                <c:v>0.18538318385384195</c:v>
              </c:pt>
              <c:pt idx="128">
                <c:v>0.18538318385384195</c:v>
              </c:pt>
              <c:pt idx="129">
                <c:v>0.18538318385384195</c:v>
              </c:pt>
              <c:pt idx="130">
                <c:v>0.18538318385384195</c:v>
              </c:pt>
              <c:pt idx="131">
                <c:v>0.18538318385384195</c:v>
              </c:pt>
              <c:pt idx="132">
                <c:v>0.18538318385384195</c:v>
              </c:pt>
              <c:pt idx="133">
                <c:v>0.18538318385384195</c:v>
              </c:pt>
              <c:pt idx="134">
                <c:v>0.18538318385384195</c:v>
              </c:pt>
              <c:pt idx="135">
                <c:v>0.18538318385384195</c:v>
              </c:pt>
              <c:pt idx="136">
                <c:v>0.18538318385384195</c:v>
              </c:pt>
              <c:pt idx="137">
                <c:v>0.18538318385384195</c:v>
              </c:pt>
              <c:pt idx="138">
                <c:v>0.18538318385384195</c:v>
              </c:pt>
              <c:pt idx="139">
                <c:v>0.18538318385384195</c:v>
              </c:pt>
              <c:pt idx="140">
                <c:v>0.18538318385384195</c:v>
              </c:pt>
              <c:pt idx="141">
                <c:v>0.18538318385384195</c:v>
              </c:pt>
              <c:pt idx="142">
                <c:v>0.18538318385384195</c:v>
              </c:pt>
              <c:pt idx="143">
                <c:v>0.18538318385384195</c:v>
              </c:pt>
              <c:pt idx="144">
                <c:v>0.18538318385384195</c:v>
              </c:pt>
              <c:pt idx="145">
                <c:v>0.18538318385384195</c:v>
              </c:pt>
              <c:pt idx="146">
                <c:v>0.18538318385384195</c:v>
              </c:pt>
              <c:pt idx="147">
                <c:v>0.18538318385384195</c:v>
              </c:pt>
              <c:pt idx="148">
                <c:v>0.18538318385384195</c:v>
              </c:pt>
              <c:pt idx="149">
                <c:v>0.18538318385384195</c:v>
              </c:pt>
              <c:pt idx="150">
                <c:v>0.18538318385384195</c:v>
              </c:pt>
              <c:pt idx="151">
                <c:v>0.18538318385384195</c:v>
              </c:pt>
              <c:pt idx="152">
                <c:v>0.18538318385384195</c:v>
              </c:pt>
              <c:pt idx="153">
                <c:v>0.18538318385384195</c:v>
              </c:pt>
              <c:pt idx="154">
                <c:v>0.18538318385384195</c:v>
              </c:pt>
              <c:pt idx="155">
                <c:v>0.18538318385384195</c:v>
              </c:pt>
              <c:pt idx="156">
                <c:v>0.18538318385384195</c:v>
              </c:pt>
              <c:pt idx="157">
                <c:v>0.18538318385384195</c:v>
              </c:pt>
              <c:pt idx="158">
                <c:v>0.18538318385384195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8044-481E-AA04-3A14C1708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059936"/>
        <c:axId val="186060720"/>
      </c:scatterChart>
      <c:valAx>
        <c:axId val="186059936"/>
        <c:scaling>
          <c:orientation val="minMax"/>
          <c:max val="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6060720"/>
        <c:crosses val="autoZero"/>
        <c:crossBetween val="midCat"/>
      </c:valAx>
      <c:valAx>
        <c:axId val="18606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6059936"/>
        <c:crosses val="autoZero"/>
        <c:crossBetween val="midCat"/>
      </c:valAx>
      <c:spPr>
        <a:noFill/>
        <a:ln>
          <a:solidFill>
            <a:schemeClr val="accent1"/>
          </a:solidFill>
        </a:ln>
        <a:effectLst/>
      </c:spPr>
    </c:plotArea>
    <c:legend>
      <c:legendPos val="r"/>
      <c:layout>
        <c:manualLayout>
          <c:xMode val="edge"/>
          <c:yMode val="edge"/>
          <c:x val="0.65282446837002517"/>
          <c:y val="0.55079289507416229"/>
          <c:w val="0.13833350831146107"/>
          <c:h val="0.2361118401866432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873892905050057E-2"/>
          <c:y val="3.108003108003108E-2"/>
          <c:w val="0.87916676421393802"/>
          <c:h val="0.82285279608114259"/>
        </c:manualLayout>
      </c:layout>
      <c:scatterChart>
        <c:scatterStyle val="lineMarker"/>
        <c:varyColors val="0"/>
        <c:ser>
          <c:idx val="0"/>
          <c:order val="0"/>
          <c:tx>
            <c:v>h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CorrVeloce!$C$11:$C$56</c:f>
              <c:numCache>
                <c:formatCode>0.00</c:formatCode>
                <c:ptCount val="46"/>
                <c:pt idx="0" formatCode="General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</c:numCache>
            </c:numRef>
          </c:xVal>
          <c:yVal>
            <c:numRef>
              <c:f>CorrVeloce!$F$11:$F$56</c:f>
              <c:numCache>
                <c:formatCode>0.000</c:formatCode>
                <c:ptCount val="46"/>
                <c:pt idx="0" formatCode="General">
                  <c:v>0.23</c:v>
                </c:pt>
                <c:pt idx="1">
                  <c:v>0.22383164982495302</c:v>
                </c:pt>
                <c:pt idx="2">
                  <c:v>0.21975762108936914</c:v>
                </c:pt>
                <c:pt idx="3">
                  <c:v>0.21664558102463949</c:v>
                </c:pt>
                <c:pt idx="4">
                  <c:v>0.21412421360881551</c:v>
                </c:pt>
                <c:pt idx="5">
                  <c:v>0.21201236857058944</c:v>
                </c:pt>
                <c:pt idx="6">
                  <c:v>0.21020483527829248</c:v>
                </c:pt>
                <c:pt idx="7">
                  <c:v>0.20863390846452926</c:v>
                </c:pt>
                <c:pt idx="8">
                  <c:v>0.20725293027870526</c:v>
                </c:pt>
                <c:pt idx="9">
                  <c:v>0.20602812401903547</c:v>
                </c:pt>
                <c:pt idx="10">
                  <c:v>0.20493411038167045</c:v>
                </c:pt>
                <c:pt idx="11">
                  <c:v>0.20395125522300389</c:v>
                </c:pt>
                <c:pt idx="12">
                  <c:v>0.20306400804149116</c:v>
                </c:pt>
                <c:pt idx="13">
                  <c:v>0.20225981243854918</c:v>
                </c:pt>
                <c:pt idx="14">
                  <c:v>0.20152836448681796</c:v>
                </c:pt>
                <c:pt idx="15">
                  <c:v>0.20086109196865237</c:v>
                </c:pt>
                <c:pt idx="16">
                  <c:v>0.20025077894733667</c:v>
                </c:pt>
                <c:pt idx="17">
                  <c:v>0.19969128892246407</c:v>
                </c:pt>
                <c:pt idx="18">
                  <c:v>0.19917735663390415</c:v>
                </c:pt>
                <c:pt idx="19">
                  <c:v>0.19870442877199093</c:v>
                </c:pt>
                <c:pt idx="20">
                  <c:v>0.1982685402348662</c:v>
                </c:pt>
                <c:pt idx="21">
                  <c:v>0.19786621668624962</c:v>
                </c:pt>
                <c:pt idx="22">
                  <c:v>0.19749439688333659</c:v>
                </c:pt>
                <c:pt idx="23">
                  <c:v>0.19715037007927053</c:v>
                </c:pt>
                <c:pt idx="24">
                  <c:v>0.19683172506883184</c:v>
                </c:pt>
                <c:pt idx="25">
                  <c:v>0.19653630833284835</c:v>
                </c:pt>
                <c:pt idx="26">
                  <c:v>0.19626218936920226</c:v>
                </c:pt>
                <c:pt idx="27">
                  <c:v>0.1960076317559489</c:v>
                </c:pt>
                <c:pt idx="28">
                  <c:v>0.19577106882777245</c:v>
                </c:pt>
                <c:pt idx="29">
                  <c:v>0.19555108309635483</c:v>
                </c:pt>
                <c:pt idx="30">
                  <c:v>0.19534638873257618</c:v>
                </c:pt>
                <c:pt idx="31">
                  <c:v>0.19515581657072004</c:v>
                </c:pt>
                <c:pt idx="32">
                  <c:v>0.19497830120394138</c:v>
                </c:pt>
                <c:pt idx="33">
                  <c:v>0.19481286982467361</c:v>
                </c:pt>
                <c:pt idx="34">
                  <c:v>0.19465863252953752</c:v>
                </c:pt>
                <c:pt idx="35">
                  <c:v>0.19451477386015206</c:v>
                </c:pt>
                <c:pt idx="36">
                  <c:v>0.19438054539233213</c:v>
                </c:pt>
                <c:pt idx="37">
                  <c:v>0.19425525921895428</c:v>
                </c:pt>
                <c:pt idx="38">
                  <c:v>0.19413828219812021</c:v>
                </c:pt>
                <c:pt idx="39">
                  <c:v>0.19402903085955106</c:v>
                </c:pt>
                <c:pt idx="40">
                  <c:v>0.19392696687946911</c:v>
                </c:pt>
                <c:pt idx="41">
                  <c:v>0.19383159304838968</c:v>
                </c:pt>
                <c:pt idx="42">
                  <c:v>0.19374244966789134</c:v>
                </c:pt>
                <c:pt idx="43">
                  <c:v>0.19365911132205302</c:v>
                </c:pt>
                <c:pt idx="44">
                  <c:v>0.19358118397723173</c:v>
                </c:pt>
                <c:pt idx="45">
                  <c:v>0.19350830237051372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59-4C97-96E2-4413FAA45FD9}"/>
            </c:ext>
          </c:extLst>
        </c:ser>
        <c:ser>
          <c:idx val="2"/>
          <c:order val="1"/>
          <c:tx>
            <c:v>k</c:v>
          </c:tx>
          <c:spPr>
            <a:ln w="12700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CorrVeloce!$C$11:$C$56</c:f>
              <c:numCache>
                <c:formatCode>0.00</c:formatCode>
                <c:ptCount val="46"/>
                <c:pt idx="0" formatCode="General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</c:numCache>
            </c:numRef>
          </c:xVal>
          <c:yVal>
            <c:numRef>
              <c:f>CorrVeloce!$P$11:$P$57</c:f>
              <c:numCache>
                <c:formatCode>General</c:formatCode>
                <c:ptCount val="47"/>
                <c:pt idx="0">
                  <c:v>0.25360062824673085</c:v>
                </c:pt>
                <c:pt idx="1">
                  <c:v>0.25360062824673085</c:v>
                </c:pt>
                <c:pt idx="2">
                  <c:v>0.25360062824673085</c:v>
                </c:pt>
                <c:pt idx="3">
                  <c:v>0.25360062824673085</c:v>
                </c:pt>
                <c:pt idx="4">
                  <c:v>0.25360062824673085</c:v>
                </c:pt>
                <c:pt idx="5">
                  <c:v>0.25360062824673085</c:v>
                </c:pt>
                <c:pt idx="6">
                  <c:v>0.25360062824673085</c:v>
                </c:pt>
                <c:pt idx="7">
                  <c:v>0.25360062824673085</c:v>
                </c:pt>
                <c:pt idx="8">
                  <c:v>0.25360062824673085</c:v>
                </c:pt>
                <c:pt idx="9">
                  <c:v>0.25360062824673085</c:v>
                </c:pt>
                <c:pt idx="10">
                  <c:v>0.25360062824673085</c:v>
                </c:pt>
                <c:pt idx="11">
                  <c:v>0.25360062824673085</c:v>
                </c:pt>
                <c:pt idx="12">
                  <c:v>0.25360062824673085</c:v>
                </c:pt>
                <c:pt idx="13">
                  <c:v>0.25360062824673085</c:v>
                </c:pt>
                <c:pt idx="14">
                  <c:v>0.25360062824673085</c:v>
                </c:pt>
                <c:pt idx="15">
                  <c:v>0.25360062824673085</c:v>
                </c:pt>
                <c:pt idx="16">
                  <c:v>0.25360062824673085</c:v>
                </c:pt>
                <c:pt idx="17">
                  <c:v>0.25360062824673085</c:v>
                </c:pt>
                <c:pt idx="18">
                  <c:v>0.25360062824673085</c:v>
                </c:pt>
                <c:pt idx="19">
                  <c:v>0.25360062824673085</c:v>
                </c:pt>
                <c:pt idx="20">
                  <c:v>0.25360062824673085</c:v>
                </c:pt>
                <c:pt idx="21">
                  <c:v>0.25360062824673085</c:v>
                </c:pt>
                <c:pt idx="22">
                  <c:v>0.25360062824673085</c:v>
                </c:pt>
                <c:pt idx="23">
                  <c:v>0.25360062824673085</c:v>
                </c:pt>
                <c:pt idx="24">
                  <c:v>0.25360062824673085</c:v>
                </c:pt>
                <c:pt idx="25">
                  <c:v>0.25360062824673085</c:v>
                </c:pt>
                <c:pt idx="26">
                  <c:v>0.25360062824673085</c:v>
                </c:pt>
                <c:pt idx="27">
                  <c:v>0.25360062824673085</c:v>
                </c:pt>
                <c:pt idx="28">
                  <c:v>0.25360062824673085</c:v>
                </c:pt>
                <c:pt idx="29">
                  <c:v>0.25360062824673085</c:v>
                </c:pt>
                <c:pt idx="30">
                  <c:v>0.25360062824673085</c:v>
                </c:pt>
                <c:pt idx="31">
                  <c:v>0.25360062824673085</c:v>
                </c:pt>
                <c:pt idx="32">
                  <c:v>0.25360062824673085</c:v>
                </c:pt>
                <c:pt idx="33">
                  <c:v>0.25360062824673085</c:v>
                </c:pt>
                <c:pt idx="34">
                  <c:v>0.25360062824673085</c:v>
                </c:pt>
                <c:pt idx="35">
                  <c:v>0.25360062824673085</c:v>
                </c:pt>
                <c:pt idx="36">
                  <c:v>0.25360062824673085</c:v>
                </c:pt>
                <c:pt idx="37">
                  <c:v>0.25360062824673085</c:v>
                </c:pt>
                <c:pt idx="38">
                  <c:v>0.25360062824673085</c:v>
                </c:pt>
                <c:pt idx="39">
                  <c:v>0.25360062824673085</c:v>
                </c:pt>
                <c:pt idx="40">
                  <c:v>0.25360062824673085</c:v>
                </c:pt>
                <c:pt idx="41">
                  <c:v>0.25360062824673085</c:v>
                </c:pt>
                <c:pt idx="42">
                  <c:v>0.25360062824673085</c:v>
                </c:pt>
                <c:pt idx="43">
                  <c:v>0.25360062824673085</c:v>
                </c:pt>
                <c:pt idx="44">
                  <c:v>0.25360062824673085</c:v>
                </c:pt>
                <c:pt idx="45">
                  <c:v>0.25360062824673085</c:v>
                </c:pt>
                <c:pt idx="46">
                  <c:v>0.25360062824673085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E59-4C97-96E2-4413FAA45FD9}"/>
            </c:ext>
          </c:extLst>
        </c:ser>
        <c:ser>
          <c:idx val="3"/>
          <c:order val="2"/>
          <c:tx>
            <c:v>h unif (rett largo)</c:v>
          </c:tx>
          <c:spPr>
            <a:ln w="22225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CorrVeloce!$C$11:$C$56</c:f>
              <c:numCache>
                <c:formatCode>0.00</c:formatCode>
                <c:ptCount val="46"/>
                <c:pt idx="0" formatCode="General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</c:numCache>
            </c:numRef>
          </c:xVal>
          <c:yVal>
            <c:numRef>
              <c:f>CorrVeloce!$Q$11:$Q$57</c:f>
              <c:numCache>
                <c:formatCode>0.000E+00</c:formatCode>
                <c:ptCount val="47"/>
                <c:pt idx="0">
                  <c:v>0.18287769855926819</c:v>
                </c:pt>
                <c:pt idx="1">
                  <c:v>0.18287769855926819</c:v>
                </c:pt>
                <c:pt idx="2">
                  <c:v>0.18287769855926819</c:v>
                </c:pt>
                <c:pt idx="3">
                  <c:v>0.18287769855926819</c:v>
                </c:pt>
                <c:pt idx="4">
                  <c:v>0.18287769855926819</c:v>
                </c:pt>
                <c:pt idx="5">
                  <c:v>0.18287769855926819</c:v>
                </c:pt>
                <c:pt idx="6">
                  <c:v>0.18287769855926819</c:v>
                </c:pt>
                <c:pt idx="7">
                  <c:v>0.18287769855926819</c:v>
                </c:pt>
                <c:pt idx="8">
                  <c:v>0.18287769855926819</c:v>
                </c:pt>
                <c:pt idx="9">
                  <c:v>0.18287769855926819</c:v>
                </c:pt>
                <c:pt idx="10">
                  <c:v>0.18287769855926819</c:v>
                </c:pt>
                <c:pt idx="11">
                  <c:v>0.18287769855926819</c:v>
                </c:pt>
                <c:pt idx="12">
                  <c:v>0.18287769855926819</c:v>
                </c:pt>
                <c:pt idx="13">
                  <c:v>0.18287769855926819</c:v>
                </c:pt>
                <c:pt idx="14">
                  <c:v>0.18287769855926819</c:v>
                </c:pt>
                <c:pt idx="15">
                  <c:v>0.18287769855926819</c:v>
                </c:pt>
                <c:pt idx="16">
                  <c:v>0.18287769855926819</c:v>
                </c:pt>
                <c:pt idx="17">
                  <c:v>0.18287769855926819</c:v>
                </c:pt>
                <c:pt idx="18">
                  <c:v>0.18287769855926819</c:v>
                </c:pt>
                <c:pt idx="19">
                  <c:v>0.18287769855926819</c:v>
                </c:pt>
                <c:pt idx="20">
                  <c:v>0.18287769855926819</c:v>
                </c:pt>
                <c:pt idx="21">
                  <c:v>0.18287769855926819</c:v>
                </c:pt>
                <c:pt idx="22">
                  <c:v>0.18287769855926819</c:v>
                </c:pt>
                <c:pt idx="23">
                  <c:v>0.18287769855926819</c:v>
                </c:pt>
                <c:pt idx="24">
                  <c:v>0.18287769855926819</c:v>
                </c:pt>
                <c:pt idx="25">
                  <c:v>0.18287769855926819</c:v>
                </c:pt>
                <c:pt idx="26">
                  <c:v>0.18287769855926819</c:v>
                </c:pt>
                <c:pt idx="27">
                  <c:v>0.18287769855926819</c:v>
                </c:pt>
                <c:pt idx="28">
                  <c:v>0.18287769855926819</c:v>
                </c:pt>
                <c:pt idx="29">
                  <c:v>0.18287769855926819</c:v>
                </c:pt>
                <c:pt idx="30">
                  <c:v>0.18287769855926819</c:v>
                </c:pt>
                <c:pt idx="31">
                  <c:v>0.18287769855926819</c:v>
                </c:pt>
                <c:pt idx="32">
                  <c:v>0.18287769855926819</c:v>
                </c:pt>
                <c:pt idx="33">
                  <c:v>0.18287769855926819</c:v>
                </c:pt>
                <c:pt idx="34">
                  <c:v>0.18287769855926819</c:v>
                </c:pt>
                <c:pt idx="35">
                  <c:v>0.18287769855926819</c:v>
                </c:pt>
                <c:pt idx="36">
                  <c:v>0.18287769855926819</c:v>
                </c:pt>
                <c:pt idx="37">
                  <c:v>0.18287769855926819</c:v>
                </c:pt>
                <c:pt idx="38">
                  <c:v>0.18287769855926819</c:v>
                </c:pt>
                <c:pt idx="39">
                  <c:v>0.18287769855926819</c:v>
                </c:pt>
                <c:pt idx="40">
                  <c:v>0.18287769855926819</c:v>
                </c:pt>
                <c:pt idx="41">
                  <c:v>0.18287769855926819</c:v>
                </c:pt>
                <c:pt idx="42">
                  <c:v>0.18287769855926819</c:v>
                </c:pt>
                <c:pt idx="43">
                  <c:v>0.18287769855926819</c:v>
                </c:pt>
                <c:pt idx="44">
                  <c:v>0.18287769855926819</c:v>
                </c:pt>
                <c:pt idx="45">
                  <c:v>0.18287769855926819</c:v>
                </c:pt>
                <c:pt idx="46">
                  <c:v>0.18287769855926819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85-4583-A231-81452A15B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060328"/>
        <c:axId val="186059152"/>
      </c:scatterChart>
      <c:valAx>
        <c:axId val="186060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6059152"/>
        <c:crosses val="autoZero"/>
        <c:crossBetween val="midCat"/>
      </c:valAx>
      <c:valAx>
        <c:axId val="18605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6060328"/>
        <c:crosses val="autoZero"/>
        <c:crossBetween val="midCat"/>
      </c:valAx>
      <c:spPr>
        <a:noFill/>
        <a:ln>
          <a:solidFill>
            <a:schemeClr val="accent1"/>
          </a:solidFill>
        </a:ln>
        <a:effectLst/>
      </c:spPr>
    </c:plotArea>
    <c:legend>
      <c:legendPos val="r"/>
      <c:layout>
        <c:manualLayout>
          <c:xMode val="edge"/>
          <c:yMode val="edge"/>
          <c:x val="0.65065364531063374"/>
          <c:y val="0.4821304096894648"/>
          <c:w val="0.26460663374036036"/>
          <c:h val="0.2481642591878812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h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Profili2!$C$5:$C$163</c:f>
              <c:numCache>
                <c:formatCode>0.00</c:formatCode>
                <c:ptCount val="159"/>
                <c:pt idx="0" formatCode="General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</c:numCache>
            </c:numRef>
          </c:xVal>
          <c:yVal>
            <c:numRef>
              <c:f>Profili2!$F$5:$F$163</c:f>
              <c:numCache>
                <c:formatCode>0.000</c:formatCode>
                <c:ptCount val="159"/>
                <c:pt idx="0" formatCode="General">
                  <c:v>0.2</c:v>
                </c:pt>
                <c:pt idx="1">
                  <c:v>0.19916094210009813</c:v>
                </c:pt>
                <c:pt idx="2">
                  <c:v>0.19839027655662278</c:v>
                </c:pt>
                <c:pt idx="3">
                  <c:v>0.19768050961574443</c:v>
                </c:pt>
                <c:pt idx="4">
                  <c:v>0.19702527068786507</c:v>
                </c:pt>
                <c:pt idx="5">
                  <c:v>0.19641909402079832</c:v>
                </c:pt>
                <c:pt idx="6">
                  <c:v>0.19585725200692911</c:v>
                </c:pt>
                <c:pt idx="7">
                  <c:v>0.19533562593800705</c:v>
                </c:pt>
                <c:pt idx="8">
                  <c:v>0.19485060441179974</c:v>
                </c:pt>
                <c:pt idx="9">
                  <c:v>0.19439900248742109</c:v>
                </c:pt>
                <c:pt idx="10">
                  <c:v>0.19397799663527607</c:v>
                </c:pt>
                <c:pt idx="11">
                  <c:v>0.19358507186771731</c:v>
                </c:pt>
                <c:pt idx="12">
                  <c:v>0.19321797837484789</c:v>
                </c:pt>
                <c:pt idx="13">
                  <c:v>0.19287469565780596</c:v>
                </c:pt>
                <c:pt idx="14">
                  <c:v>0.19255340263444379</c:v>
                </c:pt>
                <c:pt idx="15">
                  <c:v>0.19225245254579368</c:v>
                </c:pt>
                <c:pt idx="16">
                  <c:v>0.19197035175390567</c:v>
                </c:pt>
                <c:pt idx="17">
                  <c:v>0.19170574171838356</c:v>
                </c:pt>
                <c:pt idx="18">
                  <c:v>0.19145738358816344</c:v>
                </c:pt>
                <c:pt idx="19">
                  <c:v>0.19122414495937812</c:v>
                </c:pt>
                <c:pt idx="20">
                  <c:v>0.19100498843851468</c:v>
                </c:pt>
                <c:pt idx="21">
                  <c:v>0.19079896171897412</c:v>
                </c:pt>
                <c:pt idx="22">
                  <c:v>0.19060518893330058</c:v>
                </c:pt>
                <c:pt idx="23">
                  <c:v>0.1904228630862406</c:v>
                </c:pt>
                <c:pt idx="24">
                  <c:v>0.19025123940800162</c:v>
                </c:pt>
                <c:pt idx="25">
                  <c:v>0.19008962949454525</c:v>
                </c:pt>
                <c:pt idx="26">
                  <c:v>0.18993739612394014</c:v>
                </c:pt>
                <c:pt idx="27">
                  <c:v>0.18979394865583304</c:v>
                </c:pt>
                <c:pt idx="28">
                  <c:v>0.1896587389358336</c:v>
                </c:pt>
                <c:pt idx="29">
                  <c:v>0.18953125763871551</c:v>
                </c:pt>
                <c:pt idx="30">
                  <c:v>0.18941103099433371</c:v>
                </c:pt>
                <c:pt idx="31">
                  <c:v>0.18929761784844962</c:v>
                </c:pt>
                <c:pt idx="32">
                  <c:v>0.18919060701756807</c:v>
                </c:pt>
                <c:pt idx="33">
                  <c:v>0.18908961490267331</c:v>
                </c:pt>
                <c:pt idx="34">
                  <c:v>0.18899428333161233</c:v>
                </c:pt>
                <c:pt idx="35">
                  <c:v>0.18890427760397455</c:v>
                </c:pt>
                <c:pt idx="36">
                  <c:v>0.18881928471578963</c:v>
                </c:pt>
                <c:pt idx="37">
                  <c:v>0.18873901174431643</c:v>
                </c:pt>
                <c:pt idx="38">
                  <c:v>0.18866318437571286</c:v>
                </c:pt>
                <c:pt idx="39">
                  <c:v>0.18859154556052948</c:v>
                </c:pt>
                <c:pt idx="40">
                  <c:v>0.18852385428381777</c:v>
                </c:pt>
                <c:pt idx="41">
                  <c:v>0.1884598844382348</c:v>
                </c:pt>
                <c:pt idx="42">
                  <c:v>0.18839942378989954</c:v>
                </c:pt>
                <c:pt idx="43">
                  <c:v>0.18834227302794512</c:v>
                </c:pt>
                <c:pt idx="44">
                  <c:v>0.18828824488974349</c:v>
                </c:pt>
                <c:pt idx="45">
                  <c:v>0.18823716335467774</c:v>
                </c:pt>
                <c:pt idx="46">
                  <c:v>0.18818886290012066</c:v>
                </c:pt>
                <c:pt idx="47">
                  <c:v>0.1881431878139645</c:v>
                </c:pt>
                <c:pt idx="48">
                  <c:v>0.18809999155864743</c:v>
                </c:pt>
                <c:pt idx="49">
                  <c:v>0.18805913618215075</c:v>
                </c:pt>
                <c:pt idx="50">
                  <c:v>0.18802049177190602</c:v>
                </c:pt>
                <c:pt idx="51">
                  <c:v>0.18798393594796159</c:v>
                </c:pt>
                <c:pt idx="52">
                  <c:v>0.18794935339212129</c:v>
                </c:pt>
                <c:pt idx="53">
                  <c:v>0.18791663541008963</c:v>
                </c:pt>
                <c:pt idx="54">
                  <c:v>0.18788567952394322</c:v>
                </c:pt>
                <c:pt idx="55">
                  <c:v>0.18785638909250282</c:v>
                </c:pt>
                <c:pt idx="56">
                  <c:v>0.1878286729574058</c:v>
                </c:pt>
                <c:pt idx="57">
                  <c:v>0.18780244511288197</c:v>
                </c:pt>
                <c:pt idx="58">
                  <c:v>0.18777762439741594</c:v>
                </c:pt>
                <c:pt idx="59">
                  <c:v>0.18775413420564097</c:v>
                </c:pt>
                <c:pt idx="60">
                  <c:v>0.18773190221895508</c:v>
                </c:pt>
                <c:pt idx="61">
                  <c:v>0.1877108601534806</c:v>
                </c:pt>
                <c:pt idx="62">
                  <c:v>0.18769094352410554</c:v>
                </c:pt>
                <c:pt idx="63">
                  <c:v>0.18767209142345215</c:v>
                </c:pt>
                <c:pt idx="64">
                  <c:v>0.18765424631471261</c:v>
                </c:pt>
                <c:pt idx="65">
                  <c:v>0.18763735383737942</c:v>
                </c:pt>
                <c:pt idx="66">
                  <c:v>0.18762136262497572</c:v>
                </c:pt>
                <c:pt idx="67">
                  <c:v>0.18760622413396272</c:v>
                </c:pt>
                <c:pt idx="68">
                  <c:v>0.18759189248306493</c:v>
                </c:pt>
                <c:pt idx="69">
                  <c:v>0.18757832430231405</c:v>
                </c:pt>
                <c:pt idx="70">
                  <c:v>0.18756547859116446</c:v>
                </c:pt>
                <c:pt idx="71">
                  <c:v>0.18755331658508323</c:v>
                </c:pt>
                <c:pt idx="72">
                  <c:v>0.18754180163006154</c:v>
                </c:pt>
                <c:pt idx="73">
                  <c:v>0.18753089906453507</c:v>
                </c:pt>
                <c:pt idx="74">
                  <c:v>0.18752057610823886</c:v>
                </c:pt>
                <c:pt idx="75">
                  <c:v>0.18751080175755544</c:v>
                </c:pt>
                <c:pt idx="76">
                  <c:v>0.18750154668694716</c:v>
                </c:pt>
                <c:pt idx="77">
                  <c:v>0.18749278315609202</c:v>
                </c:pt>
                <c:pt idx="78">
                  <c:v>0.18748448492236894</c:v>
                </c:pt>
                <c:pt idx="79">
                  <c:v>0.18747662715836277</c:v>
                </c:pt>
                <c:pt idx="80">
                  <c:v>0.18746918637408191</c:v>
                </c:pt>
                <c:pt idx="81">
                  <c:v>0.18746214034360198</c:v>
                </c:pt>
                <c:pt idx="82">
                  <c:v>0.18745546803586818</c:v>
                </c:pt>
                <c:pt idx="83">
                  <c:v>0.187449149549407</c:v>
                </c:pt>
                <c:pt idx="84">
                  <c:v>0.18744316605071354</c:v>
                </c:pt>
                <c:pt idx="85">
                  <c:v>0.18743749971609691</c:v>
                </c:pt>
                <c:pt idx="86">
                  <c:v>0.18743213367677927</c:v>
                </c:pt>
                <c:pt idx="87">
                  <c:v>0.18742705196705778</c:v>
                </c:pt>
                <c:pt idx="88">
                  <c:v>0.18742223947535044</c:v>
                </c:pt>
                <c:pt idx="89">
                  <c:v>0.18741768189795838</c:v>
                </c:pt>
                <c:pt idx="90">
                  <c:v>0.18741336569538722</c:v>
                </c:pt>
                <c:pt idx="91">
                  <c:v>0.18740927805108035</c:v>
                </c:pt>
                <c:pt idx="92">
                  <c:v>0.18740540683242568</c:v>
                </c:pt>
                <c:pt idx="93">
                  <c:v>0.18740174055390585</c:v>
                </c:pt>
                <c:pt idx="94">
                  <c:v>0.18739826834227025</c:v>
                </c:pt>
                <c:pt idx="95">
                  <c:v>0.18739497990361384</c:v>
                </c:pt>
                <c:pt idx="96">
                  <c:v>0.18739186549225534</c:v>
                </c:pt>
                <c:pt idx="97">
                  <c:v>0.18738891588131329</c:v>
                </c:pt>
                <c:pt idx="98">
                  <c:v>0.18738612233488469</c:v>
                </c:pt>
                <c:pt idx="99">
                  <c:v>0.18738347658173668</c:v>
                </c:pt>
                <c:pt idx="100">
                  <c:v>0.18738097079042657</c:v>
                </c:pt>
                <c:pt idx="101">
                  <c:v>0.18737859754577094</c:v>
                </c:pt>
                <c:pt idx="102">
                  <c:v>0.18737634982658888</c:v>
                </c:pt>
                <c:pt idx="103">
                  <c:v>0.18737422098464887</c:v>
                </c:pt>
                <c:pt idx="104">
                  <c:v>0.18737220472475258</c:v>
                </c:pt>
                <c:pt idx="105">
                  <c:v>0.18737029508589334</c:v>
                </c:pt>
                <c:pt idx="106">
                  <c:v>0.18736848642342982</c:v>
                </c:pt>
                <c:pt idx="107">
                  <c:v>0.18736677339221941</c:v>
                </c:pt>
                <c:pt idx="108">
                  <c:v>0.1873651509306587</c:v>
                </c:pt>
                <c:pt idx="109">
                  <c:v>0.18736361424558137</c:v>
                </c:pt>
                <c:pt idx="110">
                  <c:v>0.18736215879796686</c:v>
                </c:pt>
                <c:pt idx="111">
                  <c:v>0.18736078028941552</c:v>
                </c:pt>
                <c:pt idx="112">
                  <c:v>0.1873594746493486</c:v>
                </c:pt>
                <c:pt idx="113">
                  <c:v>0.18735823802289375</c:v>
                </c:pt>
                <c:pt idx="114">
                  <c:v>0.18735706675941871</c:v>
                </c:pt>
                <c:pt idx="115">
                  <c:v>0.18735595740167826</c:v>
                </c:pt>
                <c:pt idx="116">
                  <c:v>0.18735490667554114</c:v>
                </c:pt>
                <c:pt idx="117">
                  <c:v>0.18735391148026564</c:v>
                </c:pt>
                <c:pt idx="118">
                  <c:v>0.18735296887929437</c:v>
                </c:pt>
                <c:pt idx="119">
                  <c:v>0.18735207609153984</c:v>
                </c:pt>
                <c:pt idx="120">
                  <c:v>0.18735123048313498</c:v>
                </c:pt>
                <c:pt idx="121">
                  <c:v>0.18735042955962325</c:v>
                </c:pt>
                <c:pt idx="122">
                  <c:v>0.18734967095856458</c:v>
                </c:pt>
                <c:pt idx="123">
                  <c:v>0.18734895244253522</c:v>
                </c:pt>
                <c:pt idx="124">
                  <c:v>0.18734827189250006</c:v>
                </c:pt>
                <c:pt idx="125">
                  <c:v>0.18734762730153756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5B-4062-A002-42AE8D98A9EA}"/>
            </c:ext>
          </c:extLst>
        </c:ser>
        <c:ser>
          <c:idx val="1"/>
          <c:order val="1"/>
          <c:tx>
            <c:v>h unif</c:v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Profili2!$C$5:$C$130</c:f>
              <c:numCache>
                <c:formatCode>0.00</c:formatCode>
                <c:ptCount val="126"/>
                <c:pt idx="0" formatCode="General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</c:numCache>
            </c:numRef>
          </c:xVal>
          <c:yVal>
            <c:numRef>
              <c:f>Profili2!$O$6:$O$130</c:f>
              <c:numCache>
                <c:formatCode>General</c:formatCode>
                <c:ptCount val="125"/>
                <c:pt idx="0">
                  <c:v>0.18287769855926819</c:v>
                </c:pt>
                <c:pt idx="1">
                  <c:v>0.18287769855926819</c:v>
                </c:pt>
                <c:pt idx="2">
                  <c:v>0.18287769855926819</c:v>
                </c:pt>
                <c:pt idx="3">
                  <c:v>0.18287769855926819</c:v>
                </c:pt>
                <c:pt idx="4">
                  <c:v>0.18287769855926819</c:v>
                </c:pt>
                <c:pt idx="5">
                  <c:v>0.18287769855926819</c:v>
                </c:pt>
                <c:pt idx="6">
                  <c:v>0.18287769855926819</c:v>
                </c:pt>
                <c:pt idx="7">
                  <c:v>0.18287769855926819</c:v>
                </c:pt>
                <c:pt idx="8">
                  <c:v>0.18287769855926819</c:v>
                </c:pt>
                <c:pt idx="9">
                  <c:v>0.18287769855926819</c:v>
                </c:pt>
                <c:pt idx="10">
                  <c:v>0.18287769855926819</c:v>
                </c:pt>
                <c:pt idx="11">
                  <c:v>0.18287769855926819</c:v>
                </c:pt>
                <c:pt idx="12">
                  <c:v>0.18287769855926819</c:v>
                </c:pt>
                <c:pt idx="13">
                  <c:v>0.18287769855926819</c:v>
                </c:pt>
                <c:pt idx="14">
                  <c:v>0.18287769855926819</c:v>
                </c:pt>
                <c:pt idx="15">
                  <c:v>0.18287769855926819</c:v>
                </c:pt>
                <c:pt idx="16">
                  <c:v>0.18287769855926819</c:v>
                </c:pt>
                <c:pt idx="17">
                  <c:v>0.18287769855926819</c:v>
                </c:pt>
                <c:pt idx="18">
                  <c:v>0.18287769855926819</c:v>
                </c:pt>
                <c:pt idx="19">
                  <c:v>0.18287769855926819</c:v>
                </c:pt>
                <c:pt idx="20">
                  <c:v>0.18287769855926819</c:v>
                </c:pt>
                <c:pt idx="21">
                  <c:v>0.18287769855926819</c:v>
                </c:pt>
                <c:pt idx="22">
                  <c:v>0.18287769855926819</c:v>
                </c:pt>
                <c:pt idx="23">
                  <c:v>0.18287769855926819</c:v>
                </c:pt>
                <c:pt idx="24">
                  <c:v>0.18287769855926819</c:v>
                </c:pt>
                <c:pt idx="25">
                  <c:v>0.18287769855926819</c:v>
                </c:pt>
                <c:pt idx="26">
                  <c:v>0.18287769855926819</c:v>
                </c:pt>
                <c:pt idx="27">
                  <c:v>0.18287769855926819</c:v>
                </c:pt>
                <c:pt idx="28">
                  <c:v>0.18287769855926819</c:v>
                </c:pt>
                <c:pt idx="29">
                  <c:v>0.18287769855926819</c:v>
                </c:pt>
                <c:pt idx="30">
                  <c:v>0.18287769855926819</c:v>
                </c:pt>
                <c:pt idx="31">
                  <c:v>0.18287769855926819</c:v>
                </c:pt>
                <c:pt idx="32">
                  <c:v>0.18287769855926819</c:v>
                </c:pt>
                <c:pt idx="33">
                  <c:v>0.18287769855926819</c:v>
                </c:pt>
                <c:pt idx="34">
                  <c:v>0.18287769855926819</c:v>
                </c:pt>
                <c:pt idx="35">
                  <c:v>0.18287769855926819</c:v>
                </c:pt>
                <c:pt idx="36">
                  <c:v>0.18287769855926819</c:v>
                </c:pt>
                <c:pt idx="37">
                  <c:v>0.18287769855926819</c:v>
                </c:pt>
                <c:pt idx="38">
                  <c:v>0.18287769855926819</c:v>
                </c:pt>
                <c:pt idx="39">
                  <c:v>0.18287769855926819</c:v>
                </c:pt>
                <c:pt idx="40">
                  <c:v>0.18287769855926819</c:v>
                </c:pt>
                <c:pt idx="41">
                  <c:v>0.18287769855926819</c:v>
                </c:pt>
                <c:pt idx="42">
                  <c:v>0.18287769855926819</c:v>
                </c:pt>
                <c:pt idx="43">
                  <c:v>0.18287769855926819</c:v>
                </c:pt>
                <c:pt idx="44">
                  <c:v>0.18287769855926819</c:v>
                </c:pt>
                <c:pt idx="45">
                  <c:v>0.18287769855926819</c:v>
                </c:pt>
                <c:pt idx="46">
                  <c:v>0.18287769855926819</c:v>
                </c:pt>
                <c:pt idx="47">
                  <c:v>0.18287769855926819</c:v>
                </c:pt>
                <c:pt idx="48">
                  <c:v>0.18287769855926819</c:v>
                </c:pt>
                <c:pt idx="49">
                  <c:v>0.18287769855926819</c:v>
                </c:pt>
                <c:pt idx="50">
                  <c:v>0.18287769855926819</c:v>
                </c:pt>
                <c:pt idx="51">
                  <c:v>0.18287769855926819</c:v>
                </c:pt>
                <c:pt idx="52">
                  <c:v>0.18287769855926819</c:v>
                </c:pt>
                <c:pt idx="53">
                  <c:v>0.18287769855926819</c:v>
                </c:pt>
                <c:pt idx="54">
                  <c:v>0.18287769855926819</c:v>
                </c:pt>
                <c:pt idx="55">
                  <c:v>0.18287769855926819</c:v>
                </c:pt>
                <c:pt idx="56">
                  <c:v>0.18287769855926819</c:v>
                </c:pt>
                <c:pt idx="57">
                  <c:v>0.18287769855926819</c:v>
                </c:pt>
                <c:pt idx="58">
                  <c:v>0.18287769855926819</c:v>
                </c:pt>
                <c:pt idx="59">
                  <c:v>0.18287769855926819</c:v>
                </c:pt>
                <c:pt idx="60">
                  <c:v>0.18287769855926819</c:v>
                </c:pt>
                <c:pt idx="61">
                  <c:v>0.18287769855926819</c:v>
                </c:pt>
                <c:pt idx="62">
                  <c:v>0.18287769855926819</c:v>
                </c:pt>
                <c:pt idx="63">
                  <c:v>0.18287769855926819</c:v>
                </c:pt>
                <c:pt idx="64">
                  <c:v>0.18287769855926819</c:v>
                </c:pt>
                <c:pt idx="65">
                  <c:v>0.18287769855926819</c:v>
                </c:pt>
                <c:pt idx="66">
                  <c:v>0.18287769855926819</c:v>
                </c:pt>
                <c:pt idx="67">
                  <c:v>0.18287769855926819</c:v>
                </c:pt>
                <c:pt idx="68">
                  <c:v>0.18287769855926819</c:v>
                </c:pt>
                <c:pt idx="69">
                  <c:v>0.18287769855926819</c:v>
                </c:pt>
                <c:pt idx="70">
                  <c:v>0.18287769855926819</c:v>
                </c:pt>
                <c:pt idx="71">
                  <c:v>0.18287769855926819</c:v>
                </c:pt>
                <c:pt idx="72">
                  <c:v>0.18287769855926819</c:v>
                </c:pt>
                <c:pt idx="73">
                  <c:v>0.18287769855926819</c:v>
                </c:pt>
                <c:pt idx="74">
                  <c:v>0.18287769855926819</c:v>
                </c:pt>
                <c:pt idx="75">
                  <c:v>0.18287769855926819</c:v>
                </c:pt>
                <c:pt idx="76">
                  <c:v>0.18287769855926819</c:v>
                </c:pt>
                <c:pt idx="77">
                  <c:v>0.18287769855926819</c:v>
                </c:pt>
                <c:pt idx="78">
                  <c:v>0.18287769855926819</c:v>
                </c:pt>
                <c:pt idx="79">
                  <c:v>0.18287769855926819</c:v>
                </c:pt>
                <c:pt idx="80">
                  <c:v>0.18287769855926819</c:v>
                </c:pt>
                <c:pt idx="81">
                  <c:v>0.18287769855926819</c:v>
                </c:pt>
                <c:pt idx="82">
                  <c:v>0.18287769855926819</c:v>
                </c:pt>
                <c:pt idx="83">
                  <c:v>0.18287769855926819</c:v>
                </c:pt>
                <c:pt idx="84">
                  <c:v>0.18287769855926819</c:v>
                </c:pt>
                <c:pt idx="85">
                  <c:v>0.18287769855926819</c:v>
                </c:pt>
                <c:pt idx="86">
                  <c:v>0.18287769855926819</c:v>
                </c:pt>
                <c:pt idx="87">
                  <c:v>0.18287769855926819</c:v>
                </c:pt>
                <c:pt idx="88">
                  <c:v>0.18287769855926819</c:v>
                </c:pt>
                <c:pt idx="89">
                  <c:v>0.18287769855926819</c:v>
                </c:pt>
                <c:pt idx="90">
                  <c:v>0.18287769855926819</c:v>
                </c:pt>
                <c:pt idx="91">
                  <c:v>0.18287769855926819</c:v>
                </c:pt>
                <c:pt idx="92">
                  <c:v>0.18287769855926819</c:v>
                </c:pt>
                <c:pt idx="93">
                  <c:v>0.18287769855926819</c:v>
                </c:pt>
                <c:pt idx="94">
                  <c:v>0.18287769855926819</c:v>
                </c:pt>
                <c:pt idx="95">
                  <c:v>0.18287769855926819</c:v>
                </c:pt>
                <c:pt idx="96">
                  <c:v>0.18287769855926819</c:v>
                </c:pt>
                <c:pt idx="97">
                  <c:v>0.18287769855926819</c:v>
                </c:pt>
                <c:pt idx="98">
                  <c:v>0.18287769855926819</c:v>
                </c:pt>
                <c:pt idx="99">
                  <c:v>0.18287769855926819</c:v>
                </c:pt>
                <c:pt idx="100">
                  <c:v>0.18287769855926819</c:v>
                </c:pt>
                <c:pt idx="101">
                  <c:v>0.18287769855926819</c:v>
                </c:pt>
                <c:pt idx="102">
                  <c:v>0.18287769855926819</c:v>
                </c:pt>
                <c:pt idx="103">
                  <c:v>0.18287769855926819</c:v>
                </c:pt>
                <c:pt idx="104">
                  <c:v>0.18287769855926819</c:v>
                </c:pt>
                <c:pt idx="105">
                  <c:v>0.18287769855926819</c:v>
                </c:pt>
                <c:pt idx="106">
                  <c:v>0.18287769855926819</c:v>
                </c:pt>
                <c:pt idx="107">
                  <c:v>0.18287769855926819</c:v>
                </c:pt>
                <c:pt idx="108">
                  <c:v>0.18287769855926819</c:v>
                </c:pt>
                <c:pt idx="109">
                  <c:v>0.18287769855926819</c:v>
                </c:pt>
                <c:pt idx="110">
                  <c:v>0.18287769855926819</c:v>
                </c:pt>
                <c:pt idx="111">
                  <c:v>0.18287769855926819</c:v>
                </c:pt>
                <c:pt idx="112">
                  <c:v>0.18287769855926819</c:v>
                </c:pt>
                <c:pt idx="113">
                  <c:v>0.18287769855926819</c:v>
                </c:pt>
                <c:pt idx="114">
                  <c:v>0.18287769855926819</c:v>
                </c:pt>
                <c:pt idx="115">
                  <c:v>0.18287769855926819</c:v>
                </c:pt>
                <c:pt idx="116">
                  <c:v>0.18287769855926819</c:v>
                </c:pt>
                <c:pt idx="117">
                  <c:v>0.18287769855926819</c:v>
                </c:pt>
                <c:pt idx="118">
                  <c:v>0.18287769855926819</c:v>
                </c:pt>
                <c:pt idx="119">
                  <c:v>0.18287769855926819</c:v>
                </c:pt>
                <c:pt idx="120">
                  <c:v>0.18287769855926819</c:v>
                </c:pt>
                <c:pt idx="121">
                  <c:v>0.18287769855926819</c:v>
                </c:pt>
                <c:pt idx="122">
                  <c:v>0.18287769855926819</c:v>
                </c:pt>
                <c:pt idx="123">
                  <c:v>0.18287769855926819</c:v>
                </c:pt>
                <c:pt idx="124">
                  <c:v>0.18287769855926819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5B-4062-A002-42AE8D98A9EA}"/>
            </c:ext>
          </c:extLst>
        </c:ser>
        <c:ser>
          <c:idx val="2"/>
          <c:order val="2"/>
          <c:tx>
            <c:v>k</c:v>
          </c:tx>
          <c:spPr>
            <a:ln w="12700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Profili2!$C$6:$C$130</c:f>
              <c:numCache>
                <c:formatCode>0.00</c:formatCode>
                <c:ptCount val="12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5.5</c:v>
                </c:pt>
                <c:pt idx="11">
                  <c:v>6</c:v>
                </c:pt>
                <c:pt idx="12">
                  <c:v>6.5</c:v>
                </c:pt>
                <c:pt idx="13">
                  <c:v>7</c:v>
                </c:pt>
                <c:pt idx="14">
                  <c:v>7.5</c:v>
                </c:pt>
                <c:pt idx="15">
                  <c:v>8</c:v>
                </c:pt>
                <c:pt idx="16">
                  <c:v>8.5</c:v>
                </c:pt>
                <c:pt idx="17">
                  <c:v>9</c:v>
                </c:pt>
                <c:pt idx="18">
                  <c:v>9.5</c:v>
                </c:pt>
                <c:pt idx="19">
                  <c:v>10</c:v>
                </c:pt>
                <c:pt idx="20">
                  <c:v>10.5</c:v>
                </c:pt>
                <c:pt idx="21">
                  <c:v>11</c:v>
                </c:pt>
                <c:pt idx="22">
                  <c:v>11.5</c:v>
                </c:pt>
                <c:pt idx="23">
                  <c:v>12</c:v>
                </c:pt>
                <c:pt idx="24">
                  <c:v>12.5</c:v>
                </c:pt>
                <c:pt idx="25">
                  <c:v>13</c:v>
                </c:pt>
                <c:pt idx="26">
                  <c:v>13.5</c:v>
                </c:pt>
                <c:pt idx="27">
                  <c:v>14</c:v>
                </c:pt>
                <c:pt idx="28">
                  <c:v>14.5</c:v>
                </c:pt>
                <c:pt idx="29">
                  <c:v>15</c:v>
                </c:pt>
                <c:pt idx="30">
                  <c:v>15.5</c:v>
                </c:pt>
                <c:pt idx="31">
                  <c:v>16</c:v>
                </c:pt>
                <c:pt idx="32">
                  <c:v>16.5</c:v>
                </c:pt>
                <c:pt idx="33">
                  <c:v>17</c:v>
                </c:pt>
                <c:pt idx="34">
                  <c:v>17.5</c:v>
                </c:pt>
                <c:pt idx="35">
                  <c:v>18</c:v>
                </c:pt>
                <c:pt idx="36">
                  <c:v>18.5</c:v>
                </c:pt>
                <c:pt idx="37">
                  <c:v>19</c:v>
                </c:pt>
                <c:pt idx="38">
                  <c:v>19.5</c:v>
                </c:pt>
                <c:pt idx="39">
                  <c:v>20</c:v>
                </c:pt>
                <c:pt idx="40">
                  <c:v>20.5</c:v>
                </c:pt>
                <c:pt idx="41">
                  <c:v>21</c:v>
                </c:pt>
                <c:pt idx="42">
                  <c:v>21.5</c:v>
                </c:pt>
                <c:pt idx="43">
                  <c:v>22</c:v>
                </c:pt>
                <c:pt idx="44">
                  <c:v>22.5</c:v>
                </c:pt>
                <c:pt idx="45">
                  <c:v>23</c:v>
                </c:pt>
                <c:pt idx="46">
                  <c:v>23.5</c:v>
                </c:pt>
                <c:pt idx="47">
                  <c:v>24</c:v>
                </c:pt>
                <c:pt idx="48">
                  <c:v>24.5</c:v>
                </c:pt>
                <c:pt idx="49">
                  <c:v>25</c:v>
                </c:pt>
                <c:pt idx="50">
                  <c:v>25.5</c:v>
                </c:pt>
                <c:pt idx="51">
                  <c:v>26</c:v>
                </c:pt>
                <c:pt idx="52">
                  <c:v>26.5</c:v>
                </c:pt>
                <c:pt idx="53">
                  <c:v>27</c:v>
                </c:pt>
                <c:pt idx="54">
                  <c:v>27.5</c:v>
                </c:pt>
                <c:pt idx="55">
                  <c:v>28</c:v>
                </c:pt>
                <c:pt idx="56">
                  <c:v>28.5</c:v>
                </c:pt>
                <c:pt idx="57">
                  <c:v>29</c:v>
                </c:pt>
                <c:pt idx="58">
                  <c:v>29.5</c:v>
                </c:pt>
                <c:pt idx="59">
                  <c:v>30</c:v>
                </c:pt>
                <c:pt idx="60">
                  <c:v>30.5</c:v>
                </c:pt>
                <c:pt idx="61">
                  <c:v>31</c:v>
                </c:pt>
                <c:pt idx="62">
                  <c:v>31.5</c:v>
                </c:pt>
                <c:pt idx="63">
                  <c:v>32</c:v>
                </c:pt>
                <c:pt idx="64">
                  <c:v>32.5</c:v>
                </c:pt>
                <c:pt idx="65">
                  <c:v>33</c:v>
                </c:pt>
                <c:pt idx="66">
                  <c:v>33.5</c:v>
                </c:pt>
                <c:pt idx="67">
                  <c:v>34</c:v>
                </c:pt>
                <c:pt idx="68">
                  <c:v>34.5</c:v>
                </c:pt>
                <c:pt idx="69">
                  <c:v>35</c:v>
                </c:pt>
                <c:pt idx="70">
                  <c:v>35.5</c:v>
                </c:pt>
                <c:pt idx="71">
                  <c:v>36</c:v>
                </c:pt>
                <c:pt idx="72">
                  <c:v>36.5</c:v>
                </c:pt>
                <c:pt idx="73">
                  <c:v>37</c:v>
                </c:pt>
                <c:pt idx="74">
                  <c:v>37.5</c:v>
                </c:pt>
                <c:pt idx="75">
                  <c:v>38</c:v>
                </c:pt>
                <c:pt idx="76">
                  <c:v>38.5</c:v>
                </c:pt>
                <c:pt idx="77">
                  <c:v>39</c:v>
                </c:pt>
                <c:pt idx="78">
                  <c:v>39.5</c:v>
                </c:pt>
                <c:pt idx="79">
                  <c:v>40</c:v>
                </c:pt>
                <c:pt idx="80">
                  <c:v>40.5</c:v>
                </c:pt>
                <c:pt idx="81">
                  <c:v>41</c:v>
                </c:pt>
                <c:pt idx="82">
                  <c:v>41.5</c:v>
                </c:pt>
                <c:pt idx="83">
                  <c:v>42</c:v>
                </c:pt>
                <c:pt idx="84">
                  <c:v>42.5</c:v>
                </c:pt>
                <c:pt idx="85">
                  <c:v>43</c:v>
                </c:pt>
                <c:pt idx="86">
                  <c:v>43.5</c:v>
                </c:pt>
                <c:pt idx="87">
                  <c:v>44</c:v>
                </c:pt>
                <c:pt idx="88">
                  <c:v>44.5</c:v>
                </c:pt>
                <c:pt idx="89">
                  <c:v>45</c:v>
                </c:pt>
                <c:pt idx="90">
                  <c:v>45.5</c:v>
                </c:pt>
                <c:pt idx="91">
                  <c:v>46</c:v>
                </c:pt>
                <c:pt idx="92">
                  <c:v>46.5</c:v>
                </c:pt>
                <c:pt idx="93">
                  <c:v>47</c:v>
                </c:pt>
                <c:pt idx="94">
                  <c:v>47.5</c:v>
                </c:pt>
                <c:pt idx="95">
                  <c:v>48</c:v>
                </c:pt>
                <c:pt idx="96">
                  <c:v>48.5</c:v>
                </c:pt>
                <c:pt idx="97">
                  <c:v>49</c:v>
                </c:pt>
                <c:pt idx="98">
                  <c:v>49.5</c:v>
                </c:pt>
                <c:pt idx="99">
                  <c:v>50</c:v>
                </c:pt>
                <c:pt idx="100">
                  <c:v>50.5</c:v>
                </c:pt>
                <c:pt idx="101">
                  <c:v>51</c:v>
                </c:pt>
                <c:pt idx="102">
                  <c:v>51.5</c:v>
                </c:pt>
                <c:pt idx="103">
                  <c:v>52</c:v>
                </c:pt>
                <c:pt idx="104">
                  <c:v>52.5</c:v>
                </c:pt>
                <c:pt idx="105">
                  <c:v>53</c:v>
                </c:pt>
                <c:pt idx="106">
                  <c:v>53.5</c:v>
                </c:pt>
                <c:pt idx="107">
                  <c:v>54</c:v>
                </c:pt>
                <c:pt idx="108">
                  <c:v>54.5</c:v>
                </c:pt>
                <c:pt idx="109">
                  <c:v>55</c:v>
                </c:pt>
                <c:pt idx="110">
                  <c:v>55.5</c:v>
                </c:pt>
                <c:pt idx="111">
                  <c:v>56</c:v>
                </c:pt>
                <c:pt idx="112">
                  <c:v>56.5</c:v>
                </c:pt>
                <c:pt idx="113">
                  <c:v>57</c:v>
                </c:pt>
                <c:pt idx="114">
                  <c:v>57.5</c:v>
                </c:pt>
                <c:pt idx="115">
                  <c:v>58</c:v>
                </c:pt>
                <c:pt idx="116">
                  <c:v>58.5</c:v>
                </c:pt>
                <c:pt idx="117">
                  <c:v>59</c:v>
                </c:pt>
                <c:pt idx="118">
                  <c:v>59.5</c:v>
                </c:pt>
                <c:pt idx="119">
                  <c:v>60</c:v>
                </c:pt>
                <c:pt idx="120">
                  <c:v>60.5</c:v>
                </c:pt>
                <c:pt idx="121">
                  <c:v>61</c:v>
                </c:pt>
                <c:pt idx="122">
                  <c:v>61.5</c:v>
                </c:pt>
                <c:pt idx="123">
                  <c:v>62</c:v>
                </c:pt>
                <c:pt idx="124">
                  <c:v>62.5</c:v>
                </c:pt>
              </c:numCache>
            </c:numRef>
          </c:xVal>
          <c:yVal>
            <c:numRef>
              <c:f>Profili2!$N$6:$N$130</c:f>
              <c:numCache>
                <c:formatCode>0.000E+00</c:formatCode>
                <c:ptCount val="125"/>
                <c:pt idx="0">
                  <c:v>0.25360062824673085</c:v>
                </c:pt>
                <c:pt idx="1">
                  <c:v>0.25360062824673085</c:v>
                </c:pt>
                <c:pt idx="2">
                  <c:v>0.25360062824673085</c:v>
                </c:pt>
                <c:pt idx="3">
                  <c:v>0.25360062824673085</c:v>
                </c:pt>
                <c:pt idx="4">
                  <c:v>0.25360062824673085</c:v>
                </c:pt>
                <c:pt idx="5">
                  <c:v>0.25360062824673085</c:v>
                </c:pt>
                <c:pt idx="6">
                  <c:v>0.25360062824673085</c:v>
                </c:pt>
                <c:pt idx="7">
                  <c:v>0.25360062824673085</c:v>
                </c:pt>
                <c:pt idx="8">
                  <c:v>0.25360062824673085</c:v>
                </c:pt>
                <c:pt idx="9">
                  <c:v>0.25360062824673085</c:v>
                </c:pt>
                <c:pt idx="10">
                  <c:v>0.25360062824673085</c:v>
                </c:pt>
                <c:pt idx="11">
                  <c:v>0.25360062824673085</c:v>
                </c:pt>
                <c:pt idx="12">
                  <c:v>0.25360062824673085</c:v>
                </c:pt>
                <c:pt idx="13">
                  <c:v>0.25360062824673085</c:v>
                </c:pt>
                <c:pt idx="14">
                  <c:v>0.25360062824673085</c:v>
                </c:pt>
                <c:pt idx="15">
                  <c:v>0.25360062824673085</c:v>
                </c:pt>
                <c:pt idx="16">
                  <c:v>0.25360062824673085</c:v>
                </c:pt>
                <c:pt idx="17">
                  <c:v>0.25360062824673085</c:v>
                </c:pt>
                <c:pt idx="18">
                  <c:v>0.25360062824673085</c:v>
                </c:pt>
                <c:pt idx="19">
                  <c:v>0.25360062824673085</c:v>
                </c:pt>
                <c:pt idx="20">
                  <c:v>0.25360062824673085</c:v>
                </c:pt>
                <c:pt idx="21">
                  <c:v>0.25360062824673085</c:v>
                </c:pt>
                <c:pt idx="22">
                  <c:v>0.25360062824673085</c:v>
                </c:pt>
                <c:pt idx="23">
                  <c:v>0.25360062824673085</c:v>
                </c:pt>
                <c:pt idx="24">
                  <c:v>0.25360062824673085</c:v>
                </c:pt>
                <c:pt idx="25">
                  <c:v>0.25360062824673085</c:v>
                </c:pt>
                <c:pt idx="26">
                  <c:v>0.25360062824673085</c:v>
                </c:pt>
                <c:pt idx="27">
                  <c:v>0.25360062824673085</c:v>
                </c:pt>
                <c:pt idx="28">
                  <c:v>0.25360062824673085</c:v>
                </c:pt>
                <c:pt idx="29">
                  <c:v>0.25360062824673085</c:v>
                </c:pt>
                <c:pt idx="30">
                  <c:v>0.25360062824673085</c:v>
                </c:pt>
                <c:pt idx="31">
                  <c:v>0.25360062824673085</c:v>
                </c:pt>
                <c:pt idx="32">
                  <c:v>0.25360062824673085</c:v>
                </c:pt>
                <c:pt idx="33">
                  <c:v>0.25360062824673085</c:v>
                </c:pt>
                <c:pt idx="34">
                  <c:v>0.25360062824673085</c:v>
                </c:pt>
                <c:pt idx="35">
                  <c:v>0.25360062824673085</c:v>
                </c:pt>
                <c:pt idx="36">
                  <c:v>0.25360062824673085</c:v>
                </c:pt>
                <c:pt idx="37">
                  <c:v>0.25360062824673085</c:v>
                </c:pt>
                <c:pt idx="38">
                  <c:v>0.25360062824673085</c:v>
                </c:pt>
                <c:pt idx="39">
                  <c:v>0.25360062824673085</c:v>
                </c:pt>
                <c:pt idx="40">
                  <c:v>0.25360062824673085</c:v>
                </c:pt>
                <c:pt idx="41">
                  <c:v>0.25360062824673085</c:v>
                </c:pt>
                <c:pt idx="42">
                  <c:v>0.25360062824673085</c:v>
                </c:pt>
                <c:pt idx="43">
                  <c:v>0.25360062824673085</c:v>
                </c:pt>
                <c:pt idx="44">
                  <c:v>0.25360062824673085</c:v>
                </c:pt>
                <c:pt idx="45">
                  <c:v>0.25360062824673085</c:v>
                </c:pt>
                <c:pt idx="46">
                  <c:v>0.25360062824673085</c:v>
                </c:pt>
                <c:pt idx="47">
                  <c:v>0.25360062824673085</c:v>
                </c:pt>
                <c:pt idx="48">
                  <c:v>0.25360062824673085</c:v>
                </c:pt>
                <c:pt idx="49">
                  <c:v>0.25360062824673085</c:v>
                </c:pt>
                <c:pt idx="50">
                  <c:v>0.25360062824673085</c:v>
                </c:pt>
                <c:pt idx="51">
                  <c:v>0.25360062824673085</c:v>
                </c:pt>
                <c:pt idx="52">
                  <c:v>0.25360062824673085</c:v>
                </c:pt>
                <c:pt idx="53">
                  <c:v>0.25360062824673085</c:v>
                </c:pt>
                <c:pt idx="54">
                  <c:v>0.25360062824673085</c:v>
                </c:pt>
                <c:pt idx="55">
                  <c:v>0.25360062824673085</c:v>
                </c:pt>
                <c:pt idx="56">
                  <c:v>0.25360062824673085</c:v>
                </c:pt>
                <c:pt idx="57">
                  <c:v>0.25360062824673085</c:v>
                </c:pt>
                <c:pt idx="58">
                  <c:v>0.25360062824673085</c:v>
                </c:pt>
                <c:pt idx="59">
                  <c:v>0.25360062824673085</c:v>
                </c:pt>
                <c:pt idx="60">
                  <c:v>0.25360062824673085</c:v>
                </c:pt>
                <c:pt idx="61">
                  <c:v>0.25360062824673085</c:v>
                </c:pt>
                <c:pt idx="62">
                  <c:v>0.25360062824673085</c:v>
                </c:pt>
                <c:pt idx="63">
                  <c:v>0.25360062824673085</c:v>
                </c:pt>
                <c:pt idx="64">
                  <c:v>0.25360062824673085</c:v>
                </c:pt>
                <c:pt idx="65">
                  <c:v>0.25360062824673085</c:v>
                </c:pt>
                <c:pt idx="66">
                  <c:v>0.25360062824673085</c:v>
                </c:pt>
                <c:pt idx="67">
                  <c:v>0.25360062824673085</c:v>
                </c:pt>
                <c:pt idx="68">
                  <c:v>0.25360062824673085</c:v>
                </c:pt>
                <c:pt idx="69">
                  <c:v>0.25360062824673085</c:v>
                </c:pt>
                <c:pt idx="70">
                  <c:v>0.25360062824673085</c:v>
                </c:pt>
                <c:pt idx="71">
                  <c:v>0.25360062824673085</c:v>
                </c:pt>
                <c:pt idx="72">
                  <c:v>0.25360062824673085</c:v>
                </c:pt>
                <c:pt idx="73">
                  <c:v>0.25360062824673085</c:v>
                </c:pt>
                <c:pt idx="74">
                  <c:v>0.25360062824673085</c:v>
                </c:pt>
                <c:pt idx="75">
                  <c:v>0.25360062824673085</c:v>
                </c:pt>
                <c:pt idx="76">
                  <c:v>0.25360062824673085</c:v>
                </c:pt>
                <c:pt idx="77">
                  <c:v>0.25360062824673085</c:v>
                </c:pt>
                <c:pt idx="78">
                  <c:v>0.25360062824673085</c:v>
                </c:pt>
                <c:pt idx="79">
                  <c:v>0.25360062824673085</c:v>
                </c:pt>
                <c:pt idx="80">
                  <c:v>0.25360062824673085</c:v>
                </c:pt>
                <c:pt idx="81">
                  <c:v>0.25360062824673085</c:v>
                </c:pt>
                <c:pt idx="82">
                  <c:v>0.25360062824673085</c:v>
                </c:pt>
                <c:pt idx="83">
                  <c:v>0.25360062824673085</c:v>
                </c:pt>
                <c:pt idx="84">
                  <c:v>0.25360062824673085</c:v>
                </c:pt>
                <c:pt idx="85">
                  <c:v>0.25360062824673085</c:v>
                </c:pt>
                <c:pt idx="86">
                  <c:v>0.25360062824673085</c:v>
                </c:pt>
                <c:pt idx="87">
                  <c:v>0.25360062824673085</c:v>
                </c:pt>
                <c:pt idx="88">
                  <c:v>0.25360062824673085</c:v>
                </c:pt>
                <c:pt idx="89">
                  <c:v>0.25360062824673085</c:v>
                </c:pt>
                <c:pt idx="90">
                  <c:v>0.25360062824673085</c:v>
                </c:pt>
                <c:pt idx="91">
                  <c:v>0.25360062824673085</c:v>
                </c:pt>
                <c:pt idx="92">
                  <c:v>0.25360062824673085</c:v>
                </c:pt>
                <c:pt idx="93">
                  <c:v>0.25360062824673085</c:v>
                </c:pt>
                <c:pt idx="94">
                  <c:v>0.25360062824673085</c:v>
                </c:pt>
                <c:pt idx="95">
                  <c:v>0.25360062824673085</c:v>
                </c:pt>
                <c:pt idx="96">
                  <c:v>0.25360062824673085</c:v>
                </c:pt>
                <c:pt idx="97">
                  <c:v>0.25360062824673085</c:v>
                </c:pt>
                <c:pt idx="98">
                  <c:v>0.25360062824673085</c:v>
                </c:pt>
                <c:pt idx="99">
                  <c:v>0.25360062824673085</c:v>
                </c:pt>
                <c:pt idx="100">
                  <c:v>0.25360062824673085</c:v>
                </c:pt>
                <c:pt idx="101">
                  <c:v>0.25360062824673085</c:v>
                </c:pt>
                <c:pt idx="102">
                  <c:v>0.25360062824673085</c:v>
                </c:pt>
                <c:pt idx="103">
                  <c:v>0.25360062824673085</c:v>
                </c:pt>
                <c:pt idx="104">
                  <c:v>0.25360062824673085</c:v>
                </c:pt>
                <c:pt idx="105">
                  <c:v>0.25360062824673085</c:v>
                </c:pt>
                <c:pt idx="106">
                  <c:v>0.25360062824673085</c:v>
                </c:pt>
                <c:pt idx="107">
                  <c:v>0.25360062824673085</c:v>
                </c:pt>
                <c:pt idx="108">
                  <c:v>0.25360062824673085</c:v>
                </c:pt>
                <c:pt idx="109">
                  <c:v>0.25360062824673085</c:v>
                </c:pt>
                <c:pt idx="110">
                  <c:v>0.25360062824673085</c:v>
                </c:pt>
                <c:pt idx="111">
                  <c:v>0.25360062824673085</c:v>
                </c:pt>
                <c:pt idx="112">
                  <c:v>0.25360062824673085</c:v>
                </c:pt>
                <c:pt idx="113">
                  <c:v>0.25360062824673085</c:v>
                </c:pt>
                <c:pt idx="114">
                  <c:v>0.25360062824673085</c:v>
                </c:pt>
                <c:pt idx="115">
                  <c:v>0.25360062824673085</c:v>
                </c:pt>
                <c:pt idx="116">
                  <c:v>0.25360062824673085</c:v>
                </c:pt>
                <c:pt idx="117">
                  <c:v>0.25360062824673085</c:v>
                </c:pt>
                <c:pt idx="118">
                  <c:v>0.25360062824673085</c:v>
                </c:pt>
                <c:pt idx="119">
                  <c:v>0.25360062824673085</c:v>
                </c:pt>
                <c:pt idx="120">
                  <c:v>0.25360062824673085</c:v>
                </c:pt>
                <c:pt idx="121">
                  <c:v>0.25360062824673085</c:v>
                </c:pt>
                <c:pt idx="122">
                  <c:v>0.25360062824673085</c:v>
                </c:pt>
                <c:pt idx="123">
                  <c:v>0.25360062824673085</c:v>
                </c:pt>
                <c:pt idx="124">
                  <c:v>0.25360062824673085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F5B-4062-A002-42AE8D98A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062680"/>
        <c:axId val="186059544"/>
      </c:scatterChart>
      <c:valAx>
        <c:axId val="186062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6059544"/>
        <c:crosses val="autoZero"/>
        <c:crossBetween val="midCat"/>
      </c:valAx>
      <c:valAx>
        <c:axId val="186059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6062680"/>
        <c:crosses val="autoZero"/>
        <c:crossBetween val="midCat"/>
      </c:valAx>
      <c:spPr>
        <a:noFill/>
        <a:ln>
          <a:solidFill>
            <a:schemeClr val="accent1"/>
          </a:solidFill>
        </a:ln>
        <a:effectLst/>
      </c:spPr>
    </c:plotArea>
    <c:legend>
      <c:legendPos val="r"/>
      <c:layout>
        <c:manualLayout>
          <c:xMode val="edge"/>
          <c:yMode val="edge"/>
          <c:x val="0.8480801335559266"/>
          <c:y val="0.38889034703995334"/>
          <c:w val="0.13856427378964942"/>
          <c:h val="0.2361118401866433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h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Profili2!$C$5:$C$163</c:f>
              <c:numCache>
                <c:formatCode>0.00</c:formatCode>
                <c:ptCount val="159"/>
                <c:pt idx="0" formatCode="General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</c:numCache>
            </c:numRef>
          </c:xVal>
          <c:yVal>
            <c:numRef>
              <c:f>Profili2!$F$5:$F$163</c:f>
              <c:numCache>
                <c:formatCode>0.000</c:formatCode>
                <c:ptCount val="159"/>
                <c:pt idx="0" formatCode="General">
                  <c:v>0.2</c:v>
                </c:pt>
                <c:pt idx="1">
                  <c:v>0.19916094210009813</c:v>
                </c:pt>
                <c:pt idx="2">
                  <c:v>0.19839027655662278</c:v>
                </c:pt>
                <c:pt idx="3">
                  <c:v>0.19768050961574443</c:v>
                </c:pt>
                <c:pt idx="4">
                  <c:v>0.19702527068786507</c:v>
                </c:pt>
                <c:pt idx="5">
                  <c:v>0.19641909402079832</c:v>
                </c:pt>
                <c:pt idx="6">
                  <c:v>0.19585725200692911</c:v>
                </c:pt>
                <c:pt idx="7">
                  <c:v>0.19533562593800705</c:v>
                </c:pt>
                <c:pt idx="8">
                  <c:v>0.19485060441179974</c:v>
                </c:pt>
                <c:pt idx="9">
                  <c:v>0.19439900248742109</c:v>
                </c:pt>
                <c:pt idx="10">
                  <c:v>0.19397799663527607</c:v>
                </c:pt>
                <c:pt idx="11">
                  <c:v>0.19358507186771731</c:v>
                </c:pt>
                <c:pt idx="12">
                  <c:v>0.19321797837484789</c:v>
                </c:pt>
                <c:pt idx="13">
                  <c:v>0.19287469565780596</c:v>
                </c:pt>
                <c:pt idx="14">
                  <c:v>0.19255340263444379</c:v>
                </c:pt>
                <c:pt idx="15">
                  <c:v>0.19225245254579368</c:v>
                </c:pt>
                <c:pt idx="16">
                  <c:v>0.19197035175390567</c:v>
                </c:pt>
                <c:pt idx="17">
                  <c:v>0.19170574171838356</c:v>
                </c:pt>
                <c:pt idx="18">
                  <c:v>0.19145738358816344</c:v>
                </c:pt>
                <c:pt idx="19">
                  <c:v>0.19122414495937812</c:v>
                </c:pt>
                <c:pt idx="20">
                  <c:v>0.19100498843851468</c:v>
                </c:pt>
                <c:pt idx="21">
                  <c:v>0.19079896171897412</c:v>
                </c:pt>
                <c:pt idx="22">
                  <c:v>0.19060518893330058</c:v>
                </c:pt>
                <c:pt idx="23">
                  <c:v>0.1904228630862406</c:v>
                </c:pt>
                <c:pt idx="24">
                  <c:v>0.19025123940800162</c:v>
                </c:pt>
                <c:pt idx="25">
                  <c:v>0.19008962949454525</c:v>
                </c:pt>
                <c:pt idx="26">
                  <c:v>0.18993739612394014</c:v>
                </c:pt>
                <c:pt idx="27">
                  <c:v>0.18979394865583304</c:v>
                </c:pt>
                <c:pt idx="28">
                  <c:v>0.1896587389358336</c:v>
                </c:pt>
                <c:pt idx="29">
                  <c:v>0.18953125763871551</c:v>
                </c:pt>
                <c:pt idx="30">
                  <c:v>0.18941103099433371</c:v>
                </c:pt>
                <c:pt idx="31">
                  <c:v>0.18929761784844962</c:v>
                </c:pt>
                <c:pt idx="32">
                  <c:v>0.18919060701756807</c:v>
                </c:pt>
                <c:pt idx="33">
                  <c:v>0.18908961490267331</c:v>
                </c:pt>
                <c:pt idx="34">
                  <c:v>0.18899428333161233</c:v>
                </c:pt>
                <c:pt idx="35">
                  <c:v>0.18890427760397455</c:v>
                </c:pt>
                <c:pt idx="36">
                  <c:v>0.18881928471578963</c:v>
                </c:pt>
                <c:pt idx="37">
                  <c:v>0.18873901174431643</c:v>
                </c:pt>
                <c:pt idx="38">
                  <c:v>0.18866318437571286</c:v>
                </c:pt>
                <c:pt idx="39">
                  <c:v>0.18859154556052948</c:v>
                </c:pt>
                <c:pt idx="40">
                  <c:v>0.18852385428381777</c:v>
                </c:pt>
                <c:pt idx="41">
                  <c:v>0.1884598844382348</c:v>
                </c:pt>
                <c:pt idx="42">
                  <c:v>0.18839942378989954</c:v>
                </c:pt>
                <c:pt idx="43">
                  <c:v>0.18834227302794512</c:v>
                </c:pt>
                <c:pt idx="44">
                  <c:v>0.18828824488974349</c:v>
                </c:pt>
                <c:pt idx="45">
                  <c:v>0.18823716335467774</c:v>
                </c:pt>
                <c:pt idx="46">
                  <c:v>0.18818886290012066</c:v>
                </c:pt>
                <c:pt idx="47">
                  <c:v>0.1881431878139645</c:v>
                </c:pt>
                <c:pt idx="48">
                  <c:v>0.18809999155864743</c:v>
                </c:pt>
                <c:pt idx="49">
                  <c:v>0.18805913618215075</c:v>
                </c:pt>
                <c:pt idx="50">
                  <c:v>0.18802049177190602</c:v>
                </c:pt>
                <c:pt idx="51">
                  <c:v>0.18798393594796159</c:v>
                </c:pt>
                <c:pt idx="52">
                  <c:v>0.18794935339212129</c:v>
                </c:pt>
                <c:pt idx="53">
                  <c:v>0.18791663541008963</c:v>
                </c:pt>
                <c:pt idx="54">
                  <c:v>0.18788567952394322</c:v>
                </c:pt>
                <c:pt idx="55">
                  <c:v>0.18785638909250282</c:v>
                </c:pt>
                <c:pt idx="56">
                  <c:v>0.1878286729574058</c:v>
                </c:pt>
                <c:pt idx="57">
                  <c:v>0.18780244511288197</c:v>
                </c:pt>
                <c:pt idx="58">
                  <c:v>0.18777762439741594</c:v>
                </c:pt>
                <c:pt idx="59">
                  <c:v>0.18775413420564097</c:v>
                </c:pt>
                <c:pt idx="60">
                  <c:v>0.18773190221895508</c:v>
                </c:pt>
                <c:pt idx="61">
                  <c:v>0.1877108601534806</c:v>
                </c:pt>
                <c:pt idx="62">
                  <c:v>0.18769094352410554</c:v>
                </c:pt>
                <c:pt idx="63">
                  <c:v>0.18767209142345215</c:v>
                </c:pt>
                <c:pt idx="64">
                  <c:v>0.18765424631471261</c:v>
                </c:pt>
                <c:pt idx="65">
                  <c:v>0.18763735383737942</c:v>
                </c:pt>
                <c:pt idx="66">
                  <c:v>0.18762136262497572</c:v>
                </c:pt>
                <c:pt idx="67">
                  <c:v>0.18760622413396272</c:v>
                </c:pt>
                <c:pt idx="68">
                  <c:v>0.18759189248306493</c:v>
                </c:pt>
                <c:pt idx="69">
                  <c:v>0.18757832430231405</c:v>
                </c:pt>
                <c:pt idx="70">
                  <c:v>0.18756547859116446</c:v>
                </c:pt>
                <c:pt idx="71">
                  <c:v>0.18755331658508323</c:v>
                </c:pt>
                <c:pt idx="72">
                  <c:v>0.18754180163006154</c:v>
                </c:pt>
                <c:pt idx="73">
                  <c:v>0.18753089906453507</c:v>
                </c:pt>
                <c:pt idx="74">
                  <c:v>0.18752057610823886</c:v>
                </c:pt>
                <c:pt idx="75">
                  <c:v>0.18751080175755544</c:v>
                </c:pt>
                <c:pt idx="76">
                  <c:v>0.18750154668694716</c:v>
                </c:pt>
                <c:pt idx="77">
                  <c:v>0.18749278315609202</c:v>
                </c:pt>
                <c:pt idx="78">
                  <c:v>0.18748448492236894</c:v>
                </c:pt>
                <c:pt idx="79">
                  <c:v>0.18747662715836277</c:v>
                </c:pt>
                <c:pt idx="80">
                  <c:v>0.18746918637408191</c:v>
                </c:pt>
                <c:pt idx="81">
                  <c:v>0.18746214034360198</c:v>
                </c:pt>
                <c:pt idx="82">
                  <c:v>0.18745546803586818</c:v>
                </c:pt>
                <c:pt idx="83">
                  <c:v>0.187449149549407</c:v>
                </c:pt>
                <c:pt idx="84">
                  <c:v>0.18744316605071354</c:v>
                </c:pt>
                <c:pt idx="85">
                  <c:v>0.18743749971609691</c:v>
                </c:pt>
                <c:pt idx="86">
                  <c:v>0.18743213367677927</c:v>
                </c:pt>
                <c:pt idx="87">
                  <c:v>0.18742705196705778</c:v>
                </c:pt>
                <c:pt idx="88">
                  <c:v>0.18742223947535044</c:v>
                </c:pt>
                <c:pt idx="89">
                  <c:v>0.18741768189795838</c:v>
                </c:pt>
                <c:pt idx="90">
                  <c:v>0.18741336569538722</c:v>
                </c:pt>
                <c:pt idx="91">
                  <c:v>0.18740927805108035</c:v>
                </c:pt>
                <c:pt idx="92">
                  <c:v>0.18740540683242568</c:v>
                </c:pt>
                <c:pt idx="93">
                  <c:v>0.18740174055390585</c:v>
                </c:pt>
                <c:pt idx="94">
                  <c:v>0.18739826834227025</c:v>
                </c:pt>
                <c:pt idx="95">
                  <c:v>0.18739497990361384</c:v>
                </c:pt>
                <c:pt idx="96">
                  <c:v>0.18739186549225534</c:v>
                </c:pt>
                <c:pt idx="97">
                  <c:v>0.18738891588131329</c:v>
                </c:pt>
                <c:pt idx="98">
                  <c:v>0.18738612233488469</c:v>
                </c:pt>
                <c:pt idx="99">
                  <c:v>0.18738347658173668</c:v>
                </c:pt>
                <c:pt idx="100">
                  <c:v>0.18738097079042657</c:v>
                </c:pt>
                <c:pt idx="101">
                  <c:v>0.18737859754577094</c:v>
                </c:pt>
                <c:pt idx="102">
                  <c:v>0.18737634982658888</c:v>
                </c:pt>
                <c:pt idx="103">
                  <c:v>0.18737422098464887</c:v>
                </c:pt>
                <c:pt idx="104">
                  <c:v>0.18737220472475258</c:v>
                </c:pt>
                <c:pt idx="105">
                  <c:v>0.18737029508589334</c:v>
                </c:pt>
                <c:pt idx="106">
                  <c:v>0.18736848642342982</c:v>
                </c:pt>
                <c:pt idx="107">
                  <c:v>0.18736677339221941</c:v>
                </c:pt>
                <c:pt idx="108">
                  <c:v>0.1873651509306587</c:v>
                </c:pt>
                <c:pt idx="109">
                  <c:v>0.18736361424558137</c:v>
                </c:pt>
                <c:pt idx="110">
                  <c:v>0.18736215879796686</c:v>
                </c:pt>
                <c:pt idx="111">
                  <c:v>0.18736078028941552</c:v>
                </c:pt>
                <c:pt idx="112">
                  <c:v>0.1873594746493486</c:v>
                </c:pt>
                <c:pt idx="113">
                  <c:v>0.18735823802289375</c:v>
                </c:pt>
                <c:pt idx="114">
                  <c:v>0.18735706675941871</c:v>
                </c:pt>
                <c:pt idx="115">
                  <c:v>0.18735595740167826</c:v>
                </c:pt>
                <c:pt idx="116">
                  <c:v>0.18735490667554114</c:v>
                </c:pt>
                <c:pt idx="117">
                  <c:v>0.18735391148026564</c:v>
                </c:pt>
                <c:pt idx="118">
                  <c:v>0.18735296887929437</c:v>
                </c:pt>
                <c:pt idx="119">
                  <c:v>0.18735207609153984</c:v>
                </c:pt>
                <c:pt idx="120">
                  <c:v>0.18735123048313498</c:v>
                </c:pt>
                <c:pt idx="121">
                  <c:v>0.18735042955962325</c:v>
                </c:pt>
                <c:pt idx="122">
                  <c:v>0.18734967095856458</c:v>
                </c:pt>
                <c:pt idx="123">
                  <c:v>0.18734895244253522</c:v>
                </c:pt>
                <c:pt idx="124">
                  <c:v>0.18734827189250006</c:v>
                </c:pt>
                <c:pt idx="125">
                  <c:v>0.18734762730153756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73-4C67-B66D-C3012F87D3B6}"/>
            </c:ext>
          </c:extLst>
        </c:ser>
        <c:ser>
          <c:idx val="1"/>
          <c:order val="1"/>
          <c:tx>
            <c:v>h unif</c:v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Profili2!$C$5:$C$130</c:f>
              <c:numCache>
                <c:formatCode>0.00</c:formatCode>
                <c:ptCount val="126"/>
                <c:pt idx="0" formatCode="General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</c:numCache>
            </c:numRef>
          </c:xVal>
          <c:yVal>
            <c:numRef>
              <c:f>Profili2!$O$6:$O$130</c:f>
              <c:numCache>
                <c:formatCode>General</c:formatCode>
                <c:ptCount val="125"/>
                <c:pt idx="0">
                  <c:v>0.18287769855926819</c:v>
                </c:pt>
                <c:pt idx="1">
                  <c:v>0.18287769855926819</c:v>
                </c:pt>
                <c:pt idx="2">
                  <c:v>0.18287769855926819</c:v>
                </c:pt>
                <c:pt idx="3">
                  <c:v>0.18287769855926819</c:v>
                </c:pt>
                <c:pt idx="4">
                  <c:v>0.18287769855926819</c:v>
                </c:pt>
                <c:pt idx="5">
                  <c:v>0.18287769855926819</c:v>
                </c:pt>
                <c:pt idx="6">
                  <c:v>0.18287769855926819</c:v>
                </c:pt>
                <c:pt idx="7">
                  <c:v>0.18287769855926819</c:v>
                </c:pt>
                <c:pt idx="8">
                  <c:v>0.18287769855926819</c:v>
                </c:pt>
                <c:pt idx="9">
                  <c:v>0.18287769855926819</c:v>
                </c:pt>
                <c:pt idx="10">
                  <c:v>0.18287769855926819</c:v>
                </c:pt>
                <c:pt idx="11">
                  <c:v>0.18287769855926819</c:v>
                </c:pt>
                <c:pt idx="12">
                  <c:v>0.18287769855926819</c:v>
                </c:pt>
                <c:pt idx="13">
                  <c:v>0.18287769855926819</c:v>
                </c:pt>
                <c:pt idx="14">
                  <c:v>0.18287769855926819</c:v>
                </c:pt>
                <c:pt idx="15">
                  <c:v>0.18287769855926819</c:v>
                </c:pt>
                <c:pt idx="16">
                  <c:v>0.18287769855926819</c:v>
                </c:pt>
                <c:pt idx="17">
                  <c:v>0.18287769855926819</c:v>
                </c:pt>
                <c:pt idx="18">
                  <c:v>0.18287769855926819</c:v>
                </c:pt>
                <c:pt idx="19">
                  <c:v>0.18287769855926819</c:v>
                </c:pt>
                <c:pt idx="20">
                  <c:v>0.18287769855926819</c:v>
                </c:pt>
                <c:pt idx="21">
                  <c:v>0.18287769855926819</c:v>
                </c:pt>
                <c:pt idx="22">
                  <c:v>0.18287769855926819</c:v>
                </c:pt>
                <c:pt idx="23">
                  <c:v>0.18287769855926819</c:v>
                </c:pt>
                <c:pt idx="24">
                  <c:v>0.18287769855926819</c:v>
                </c:pt>
                <c:pt idx="25">
                  <c:v>0.18287769855926819</c:v>
                </c:pt>
                <c:pt idx="26">
                  <c:v>0.18287769855926819</c:v>
                </c:pt>
                <c:pt idx="27">
                  <c:v>0.18287769855926819</c:v>
                </c:pt>
                <c:pt idx="28">
                  <c:v>0.18287769855926819</c:v>
                </c:pt>
                <c:pt idx="29">
                  <c:v>0.18287769855926819</c:v>
                </c:pt>
                <c:pt idx="30">
                  <c:v>0.18287769855926819</c:v>
                </c:pt>
                <c:pt idx="31">
                  <c:v>0.18287769855926819</c:v>
                </c:pt>
                <c:pt idx="32">
                  <c:v>0.18287769855926819</c:v>
                </c:pt>
                <c:pt idx="33">
                  <c:v>0.18287769855926819</c:v>
                </c:pt>
                <c:pt idx="34">
                  <c:v>0.18287769855926819</c:v>
                </c:pt>
                <c:pt idx="35">
                  <c:v>0.18287769855926819</c:v>
                </c:pt>
                <c:pt idx="36">
                  <c:v>0.18287769855926819</c:v>
                </c:pt>
                <c:pt idx="37">
                  <c:v>0.18287769855926819</c:v>
                </c:pt>
                <c:pt idx="38">
                  <c:v>0.18287769855926819</c:v>
                </c:pt>
                <c:pt idx="39">
                  <c:v>0.18287769855926819</c:v>
                </c:pt>
                <c:pt idx="40">
                  <c:v>0.18287769855926819</c:v>
                </c:pt>
                <c:pt idx="41">
                  <c:v>0.18287769855926819</c:v>
                </c:pt>
                <c:pt idx="42">
                  <c:v>0.18287769855926819</c:v>
                </c:pt>
                <c:pt idx="43">
                  <c:v>0.18287769855926819</c:v>
                </c:pt>
                <c:pt idx="44">
                  <c:v>0.18287769855926819</c:v>
                </c:pt>
                <c:pt idx="45">
                  <c:v>0.18287769855926819</c:v>
                </c:pt>
                <c:pt idx="46">
                  <c:v>0.18287769855926819</c:v>
                </c:pt>
                <c:pt idx="47">
                  <c:v>0.18287769855926819</c:v>
                </c:pt>
                <c:pt idx="48">
                  <c:v>0.18287769855926819</c:v>
                </c:pt>
                <c:pt idx="49">
                  <c:v>0.18287769855926819</c:v>
                </c:pt>
                <c:pt idx="50">
                  <c:v>0.18287769855926819</c:v>
                </c:pt>
                <c:pt idx="51">
                  <c:v>0.18287769855926819</c:v>
                </c:pt>
                <c:pt idx="52">
                  <c:v>0.18287769855926819</c:v>
                </c:pt>
                <c:pt idx="53">
                  <c:v>0.18287769855926819</c:v>
                </c:pt>
                <c:pt idx="54">
                  <c:v>0.18287769855926819</c:v>
                </c:pt>
                <c:pt idx="55">
                  <c:v>0.18287769855926819</c:v>
                </c:pt>
                <c:pt idx="56">
                  <c:v>0.18287769855926819</c:v>
                </c:pt>
                <c:pt idx="57">
                  <c:v>0.18287769855926819</c:v>
                </c:pt>
                <c:pt idx="58">
                  <c:v>0.18287769855926819</c:v>
                </c:pt>
                <c:pt idx="59">
                  <c:v>0.18287769855926819</c:v>
                </c:pt>
                <c:pt idx="60">
                  <c:v>0.18287769855926819</c:v>
                </c:pt>
                <c:pt idx="61">
                  <c:v>0.18287769855926819</c:v>
                </c:pt>
                <c:pt idx="62">
                  <c:v>0.18287769855926819</c:v>
                </c:pt>
                <c:pt idx="63">
                  <c:v>0.18287769855926819</c:v>
                </c:pt>
                <c:pt idx="64">
                  <c:v>0.18287769855926819</c:v>
                </c:pt>
                <c:pt idx="65">
                  <c:v>0.18287769855926819</c:v>
                </c:pt>
                <c:pt idx="66">
                  <c:v>0.18287769855926819</c:v>
                </c:pt>
                <c:pt idx="67">
                  <c:v>0.18287769855926819</c:v>
                </c:pt>
                <c:pt idx="68">
                  <c:v>0.18287769855926819</c:v>
                </c:pt>
                <c:pt idx="69">
                  <c:v>0.18287769855926819</c:v>
                </c:pt>
                <c:pt idx="70">
                  <c:v>0.18287769855926819</c:v>
                </c:pt>
                <c:pt idx="71">
                  <c:v>0.18287769855926819</c:v>
                </c:pt>
                <c:pt idx="72">
                  <c:v>0.18287769855926819</c:v>
                </c:pt>
                <c:pt idx="73">
                  <c:v>0.18287769855926819</c:v>
                </c:pt>
                <c:pt idx="74">
                  <c:v>0.18287769855926819</c:v>
                </c:pt>
                <c:pt idx="75">
                  <c:v>0.18287769855926819</c:v>
                </c:pt>
                <c:pt idx="76">
                  <c:v>0.18287769855926819</c:v>
                </c:pt>
                <c:pt idx="77">
                  <c:v>0.18287769855926819</c:v>
                </c:pt>
                <c:pt idx="78">
                  <c:v>0.18287769855926819</c:v>
                </c:pt>
                <c:pt idx="79">
                  <c:v>0.18287769855926819</c:v>
                </c:pt>
                <c:pt idx="80">
                  <c:v>0.18287769855926819</c:v>
                </c:pt>
                <c:pt idx="81">
                  <c:v>0.18287769855926819</c:v>
                </c:pt>
                <c:pt idx="82">
                  <c:v>0.18287769855926819</c:v>
                </c:pt>
                <c:pt idx="83">
                  <c:v>0.18287769855926819</c:v>
                </c:pt>
                <c:pt idx="84">
                  <c:v>0.18287769855926819</c:v>
                </c:pt>
                <c:pt idx="85">
                  <c:v>0.18287769855926819</c:v>
                </c:pt>
                <c:pt idx="86">
                  <c:v>0.18287769855926819</c:v>
                </c:pt>
                <c:pt idx="87">
                  <c:v>0.18287769855926819</c:v>
                </c:pt>
                <c:pt idx="88">
                  <c:v>0.18287769855926819</c:v>
                </c:pt>
                <c:pt idx="89">
                  <c:v>0.18287769855926819</c:v>
                </c:pt>
                <c:pt idx="90">
                  <c:v>0.18287769855926819</c:v>
                </c:pt>
                <c:pt idx="91">
                  <c:v>0.18287769855926819</c:v>
                </c:pt>
                <c:pt idx="92">
                  <c:v>0.18287769855926819</c:v>
                </c:pt>
                <c:pt idx="93">
                  <c:v>0.18287769855926819</c:v>
                </c:pt>
                <c:pt idx="94">
                  <c:v>0.18287769855926819</c:v>
                </c:pt>
                <c:pt idx="95">
                  <c:v>0.18287769855926819</c:v>
                </c:pt>
                <c:pt idx="96">
                  <c:v>0.18287769855926819</c:v>
                </c:pt>
                <c:pt idx="97">
                  <c:v>0.18287769855926819</c:v>
                </c:pt>
                <c:pt idx="98">
                  <c:v>0.18287769855926819</c:v>
                </c:pt>
                <c:pt idx="99">
                  <c:v>0.18287769855926819</c:v>
                </c:pt>
                <c:pt idx="100">
                  <c:v>0.18287769855926819</c:v>
                </c:pt>
                <c:pt idx="101">
                  <c:v>0.18287769855926819</c:v>
                </c:pt>
                <c:pt idx="102">
                  <c:v>0.18287769855926819</c:v>
                </c:pt>
                <c:pt idx="103">
                  <c:v>0.18287769855926819</c:v>
                </c:pt>
                <c:pt idx="104">
                  <c:v>0.18287769855926819</c:v>
                </c:pt>
                <c:pt idx="105">
                  <c:v>0.18287769855926819</c:v>
                </c:pt>
                <c:pt idx="106">
                  <c:v>0.18287769855926819</c:v>
                </c:pt>
                <c:pt idx="107">
                  <c:v>0.18287769855926819</c:v>
                </c:pt>
                <c:pt idx="108">
                  <c:v>0.18287769855926819</c:v>
                </c:pt>
                <c:pt idx="109">
                  <c:v>0.18287769855926819</c:v>
                </c:pt>
                <c:pt idx="110">
                  <c:v>0.18287769855926819</c:v>
                </c:pt>
                <c:pt idx="111">
                  <c:v>0.18287769855926819</c:v>
                </c:pt>
                <c:pt idx="112">
                  <c:v>0.18287769855926819</c:v>
                </c:pt>
                <c:pt idx="113">
                  <c:v>0.18287769855926819</c:v>
                </c:pt>
                <c:pt idx="114">
                  <c:v>0.18287769855926819</c:v>
                </c:pt>
                <c:pt idx="115">
                  <c:v>0.18287769855926819</c:v>
                </c:pt>
                <c:pt idx="116">
                  <c:v>0.18287769855926819</c:v>
                </c:pt>
                <c:pt idx="117">
                  <c:v>0.18287769855926819</c:v>
                </c:pt>
                <c:pt idx="118">
                  <c:v>0.18287769855926819</c:v>
                </c:pt>
                <c:pt idx="119">
                  <c:v>0.18287769855926819</c:v>
                </c:pt>
                <c:pt idx="120">
                  <c:v>0.18287769855926819</c:v>
                </c:pt>
                <c:pt idx="121">
                  <c:v>0.18287769855926819</c:v>
                </c:pt>
                <c:pt idx="122">
                  <c:v>0.18287769855926819</c:v>
                </c:pt>
                <c:pt idx="123">
                  <c:v>0.18287769855926819</c:v>
                </c:pt>
                <c:pt idx="124">
                  <c:v>0.18287769855926819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73-4C67-B66D-C3012F87D3B6}"/>
            </c:ext>
          </c:extLst>
        </c:ser>
        <c:ser>
          <c:idx val="2"/>
          <c:order val="2"/>
          <c:tx>
            <c:v>k</c:v>
          </c:tx>
          <c:spPr>
            <a:ln w="12700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Profili2!$C$6:$C$130</c:f>
              <c:numCache>
                <c:formatCode>0.00</c:formatCode>
                <c:ptCount val="12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5.5</c:v>
                </c:pt>
                <c:pt idx="11">
                  <c:v>6</c:v>
                </c:pt>
                <c:pt idx="12">
                  <c:v>6.5</c:v>
                </c:pt>
                <c:pt idx="13">
                  <c:v>7</c:v>
                </c:pt>
                <c:pt idx="14">
                  <c:v>7.5</c:v>
                </c:pt>
                <c:pt idx="15">
                  <c:v>8</c:v>
                </c:pt>
                <c:pt idx="16">
                  <c:v>8.5</c:v>
                </c:pt>
                <c:pt idx="17">
                  <c:v>9</c:v>
                </c:pt>
                <c:pt idx="18">
                  <c:v>9.5</c:v>
                </c:pt>
                <c:pt idx="19">
                  <c:v>10</c:v>
                </c:pt>
                <c:pt idx="20">
                  <c:v>10.5</c:v>
                </c:pt>
                <c:pt idx="21">
                  <c:v>11</c:v>
                </c:pt>
                <c:pt idx="22">
                  <c:v>11.5</c:v>
                </c:pt>
                <c:pt idx="23">
                  <c:v>12</c:v>
                </c:pt>
                <c:pt idx="24">
                  <c:v>12.5</c:v>
                </c:pt>
                <c:pt idx="25">
                  <c:v>13</c:v>
                </c:pt>
                <c:pt idx="26">
                  <c:v>13.5</c:v>
                </c:pt>
                <c:pt idx="27">
                  <c:v>14</c:v>
                </c:pt>
                <c:pt idx="28">
                  <c:v>14.5</c:v>
                </c:pt>
                <c:pt idx="29">
                  <c:v>15</c:v>
                </c:pt>
                <c:pt idx="30">
                  <c:v>15.5</c:v>
                </c:pt>
                <c:pt idx="31">
                  <c:v>16</c:v>
                </c:pt>
                <c:pt idx="32">
                  <c:v>16.5</c:v>
                </c:pt>
                <c:pt idx="33">
                  <c:v>17</c:v>
                </c:pt>
                <c:pt idx="34">
                  <c:v>17.5</c:v>
                </c:pt>
                <c:pt idx="35">
                  <c:v>18</c:v>
                </c:pt>
                <c:pt idx="36">
                  <c:v>18.5</c:v>
                </c:pt>
                <c:pt idx="37">
                  <c:v>19</c:v>
                </c:pt>
                <c:pt idx="38">
                  <c:v>19.5</c:v>
                </c:pt>
                <c:pt idx="39">
                  <c:v>20</c:v>
                </c:pt>
                <c:pt idx="40">
                  <c:v>20.5</c:v>
                </c:pt>
                <c:pt idx="41">
                  <c:v>21</c:v>
                </c:pt>
                <c:pt idx="42">
                  <c:v>21.5</c:v>
                </c:pt>
                <c:pt idx="43">
                  <c:v>22</c:v>
                </c:pt>
                <c:pt idx="44">
                  <c:v>22.5</c:v>
                </c:pt>
                <c:pt idx="45">
                  <c:v>23</c:v>
                </c:pt>
                <c:pt idx="46">
                  <c:v>23.5</c:v>
                </c:pt>
                <c:pt idx="47">
                  <c:v>24</c:v>
                </c:pt>
                <c:pt idx="48">
                  <c:v>24.5</c:v>
                </c:pt>
                <c:pt idx="49">
                  <c:v>25</c:v>
                </c:pt>
                <c:pt idx="50">
                  <c:v>25.5</c:v>
                </c:pt>
                <c:pt idx="51">
                  <c:v>26</c:v>
                </c:pt>
                <c:pt idx="52">
                  <c:v>26.5</c:v>
                </c:pt>
                <c:pt idx="53">
                  <c:v>27</c:v>
                </c:pt>
                <c:pt idx="54">
                  <c:v>27.5</c:v>
                </c:pt>
                <c:pt idx="55">
                  <c:v>28</c:v>
                </c:pt>
                <c:pt idx="56">
                  <c:v>28.5</c:v>
                </c:pt>
                <c:pt idx="57">
                  <c:v>29</c:v>
                </c:pt>
                <c:pt idx="58">
                  <c:v>29.5</c:v>
                </c:pt>
                <c:pt idx="59">
                  <c:v>30</c:v>
                </c:pt>
                <c:pt idx="60">
                  <c:v>30.5</c:v>
                </c:pt>
                <c:pt idx="61">
                  <c:v>31</c:v>
                </c:pt>
                <c:pt idx="62">
                  <c:v>31.5</c:v>
                </c:pt>
                <c:pt idx="63">
                  <c:v>32</c:v>
                </c:pt>
                <c:pt idx="64">
                  <c:v>32.5</c:v>
                </c:pt>
                <c:pt idx="65">
                  <c:v>33</c:v>
                </c:pt>
                <c:pt idx="66">
                  <c:v>33.5</c:v>
                </c:pt>
                <c:pt idx="67">
                  <c:v>34</c:v>
                </c:pt>
                <c:pt idx="68">
                  <c:v>34.5</c:v>
                </c:pt>
                <c:pt idx="69">
                  <c:v>35</c:v>
                </c:pt>
                <c:pt idx="70">
                  <c:v>35.5</c:v>
                </c:pt>
                <c:pt idx="71">
                  <c:v>36</c:v>
                </c:pt>
                <c:pt idx="72">
                  <c:v>36.5</c:v>
                </c:pt>
                <c:pt idx="73">
                  <c:v>37</c:v>
                </c:pt>
                <c:pt idx="74">
                  <c:v>37.5</c:v>
                </c:pt>
                <c:pt idx="75">
                  <c:v>38</c:v>
                </c:pt>
                <c:pt idx="76">
                  <c:v>38.5</c:v>
                </c:pt>
                <c:pt idx="77">
                  <c:v>39</c:v>
                </c:pt>
                <c:pt idx="78">
                  <c:v>39.5</c:v>
                </c:pt>
                <c:pt idx="79">
                  <c:v>40</c:v>
                </c:pt>
                <c:pt idx="80">
                  <c:v>40.5</c:v>
                </c:pt>
                <c:pt idx="81">
                  <c:v>41</c:v>
                </c:pt>
                <c:pt idx="82">
                  <c:v>41.5</c:v>
                </c:pt>
                <c:pt idx="83">
                  <c:v>42</c:v>
                </c:pt>
                <c:pt idx="84">
                  <c:v>42.5</c:v>
                </c:pt>
                <c:pt idx="85">
                  <c:v>43</c:v>
                </c:pt>
                <c:pt idx="86">
                  <c:v>43.5</c:v>
                </c:pt>
                <c:pt idx="87">
                  <c:v>44</c:v>
                </c:pt>
                <c:pt idx="88">
                  <c:v>44.5</c:v>
                </c:pt>
                <c:pt idx="89">
                  <c:v>45</c:v>
                </c:pt>
                <c:pt idx="90">
                  <c:v>45.5</c:v>
                </c:pt>
                <c:pt idx="91">
                  <c:v>46</c:v>
                </c:pt>
                <c:pt idx="92">
                  <c:v>46.5</c:v>
                </c:pt>
                <c:pt idx="93">
                  <c:v>47</c:v>
                </c:pt>
                <c:pt idx="94">
                  <c:v>47.5</c:v>
                </c:pt>
                <c:pt idx="95">
                  <c:v>48</c:v>
                </c:pt>
                <c:pt idx="96">
                  <c:v>48.5</c:v>
                </c:pt>
                <c:pt idx="97">
                  <c:v>49</c:v>
                </c:pt>
                <c:pt idx="98">
                  <c:v>49.5</c:v>
                </c:pt>
                <c:pt idx="99">
                  <c:v>50</c:v>
                </c:pt>
                <c:pt idx="100">
                  <c:v>50.5</c:v>
                </c:pt>
                <c:pt idx="101">
                  <c:v>51</c:v>
                </c:pt>
                <c:pt idx="102">
                  <c:v>51.5</c:v>
                </c:pt>
                <c:pt idx="103">
                  <c:v>52</c:v>
                </c:pt>
                <c:pt idx="104">
                  <c:v>52.5</c:v>
                </c:pt>
                <c:pt idx="105">
                  <c:v>53</c:v>
                </c:pt>
                <c:pt idx="106">
                  <c:v>53.5</c:v>
                </c:pt>
                <c:pt idx="107">
                  <c:v>54</c:v>
                </c:pt>
                <c:pt idx="108">
                  <c:v>54.5</c:v>
                </c:pt>
                <c:pt idx="109">
                  <c:v>55</c:v>
                </c:pt>
                <c:pt idx="110">
                  <c:v>55.5</c:v>
                </c:pt>
                <c:pt idx="111">
                  <c:v>56</c:v>
                </c:pt>
                <c:pt idx="112">
                  <c:v>56.5</c:v>
                </c:pt>
                <c:pt idx="113">
                  <c:v>57</c:v>
                </c:pt>
                <c:pt idx="114">
                  <c:v>57.5</c:v>
                </c:pt>
                <c:pt idx="115">
                  <c:v>58</c:v>
                </c:pt>
                <c:pt idx="116">
                  <c:v>58.5</c:v>
                </c:pt>
                <c:pt idx="117">
                  <c:v>59</c:v>
                </c:pt>
                <c:pt idx="118">
                  <c:v>59.5</c:v>
                </c:pt>
                <c:pt idx="119">
                  <c:v>60</c:v>
                </c:pt>
                <c:pt idx="120">
                  <c:v>60.5</c:v>
                </c:pt>
                <c:pt idx="121">
                  <c:v>61</c:v>
                </c:pt>
                <c:pt idx="122">
                  <c:v>61.5</c:v>
                </c:pt>
                <c:pt idx="123">
                  <c:v>62</c:v>
                </c:pt>
                <c:pt idx="124">
                  <c:v>62.5</c:v>
                </c:pt>
              </c:numCache>
            </c:numRef>
          </c:xVal>
          <c:yVal>
            <c:numRef>
              <c:f>Profili2!$N$6:$N$130</c:f>
              <c:numCache>
                <c:formatCode>0.000E+00</c:formatCode>
                <c:ptCount val="125"/>
                <c:pt idx="0">
                  <c:v>0.25360062824673085</c:v>
                </c:pt>
                <c:pt idx="1">
                  <c:v>0.25360062824673085</c:v>
                </c:pt>
                <c:pt idx="2">
                  <c:v>0.25360062824673085</c:v>
                </c:pt>
                <c:pt idx="3">
                  <c:v>0.25360062824673085</c:v>
                </c:pt>
                <c:pt idx="4">
                  <c:v>0.25360062824673085</c:v>
                </c:pt>
                <c:pt idx="5">
                  <c:v>0.25360062824673085</c:v>
                </c:pt>
                <c:pt idx="6">
                  <c:v>0.25360062824673085</c:v>
                </c:pt>
                <c:pt idx="7">
                  <c:v>0.25360062824673085</c:v>
                </c:pt>
                <c:pt idx="8">
                  <c:v>0.25360062824673085</c:v>
                </c:pt>
                <c:pt idx="9">
                  <c:v>0.25360062824673085</c:v>
                </c:pt>
                <c:pt idx="10">
                  <c:v>0.25360062824673085</c:v>
                </c:pt>
                <c:pt idx="11">
                  <c:v>0.25360062824673085</c:v>
                </c:pt>
                <c:pt idx="12">
                  <c:v>0.25360062824673085</c:v>
                </c:pt>
                <c:pt idx="13">
                  <c:v>0.25360062824673085</c:v>
                </c:pt>
                <c:pt idx="14">
                  <c:v>0.25360062824673085</c:v>
                </c:pt>
                <c:pt idx="15">
                  <c:v>0.25360062824673085</c:v>
                </c:pt>
                <c:pt idx="16">
                  <c:v>0.25360062824673085</c:v>
                </c:pt>
                <c:pt idx="17">
                  <c:v>0.25360062824673085</c:v>
                </c:pt>
                <c:pt idx="18">
                  <c:v>0.25360062824673085</c:v>
                </c:pt>
                <c:pt idx="19">
                  <c:v>0.25360062824673085</c:v>
                </c:pt>
                <c:pt idx="20">
                  <c:v>0.25360062824673085</c:v>
                </c:pt>
                <c:pt idx="21">
                  <c:v>0.25360062824673085</c:v>
                </c:pt>
                <c:pt idx="22">
                  <c:v>0.25360062824673085</c:v>
                </c:pt>
                <c:pt idx="23">
                  <c:v>0.25360062824673085</c:v>
                </c:pt>
                <c:pt idx="24">
                  <c:v>0.25360062824673085</c:v>
                </c:pt>
                <c:pt idx="25">
                  <c:v>0.25360062824673085</c:v>
                </c:pt>
                <c:pt idx="26">
                  <c:v>0.25360062824673085</c:v>
                </c:pt>
                <c:pt idx="27">
                  <c:v>0.25360062824673085</c:v>
                </c:pt>
                <c:pt idx="28">
                  <c:v>0.25360062824673085</c:v>
                </c:pt>
                <c:pt idx="29">
                  <c:v>0.25360062824673085</c:v>
                </c:pt>
                <c:pt idx="30">
                  <c:v>0.25360062824673085</c:v>
                </c:pt>
                <c:pt idx="31">
                  <c:v>0.25360062824673085</c:v>
                </c:pt>
                <c:pt idx="32">
                  <c:v>0.25360062824673085</c:v>
                </c:pt>
                <c:pt idx="33">
                  <c:v>0.25360062824673085</c:v>
                </c:pt>
                <c:pt idx="34">
                  <c:v>0.25360062824673085</c:v>
                </c:pt>
                <c:pt idx="35">
                  <c:v>0.25360062824673085</c:v>
                </c:pt>
                <c:pt idx="36">
                  <c:v>0.25360062824673085</c:v>
                </c:pt>
                <c:pt idx="37">
                  <c:v>0.25360062824673085</c:v>
                </c:pt>
                <c:pt idx="38">
                  <c:v>0.25360062824673085</c:v>
                </c:pt>
                <c:pt idx="39">
                  <c:v>0.25360062824673085</c:v>
                </c:pt>
                <c:pt idx="40">
                  <c:v>0.25360062824673085</c:v>
                </c:pt>
                <c:pt idx="41">
                  <c:v>0.25360062824673085</c:v>
                </c:pt>
                <c:pt idx="42">
                  <c:v>0.25360062824673085</c:v>
                </c:pt>
                <c:pt idx="43">
                  <c:v>0.25360062824673085</c:v>
                </c:pt>
                <c:pt idx="44">
                  <c:v>0.25360062824673085</c:v>
                </c:pt>
                <c:pt idx="45">
                  <c:v>0.25360062824673085</c:v>
                </c:pt>
                <c:pt idx="46">
                  <c:v>0.25360062824673085</c:v>
                </c:pt>
                <c:pt idx="47">
                  <c:v>0.25360062824673085</c:v>
                </c:pt>
                <c:pt idx="48">
                  <c:v>0.25360062824673085</c:v>
                </c:pt>
                <c:pt idx="49">
                  <c:v>0.25360062824673085</c:v>
                </c:pt>
                <c:pt idx="50">
                  <c:v>0.25360062824673085</c:v>
                </c:pt>
                <c:pt idx="51">
                  <c:v>0.25360062824673085</c:v>
                </c:pt>
                <c:pt idx="52">
                  <c:v>0.25360062824673085</c:v>
                </c:pt>
                <c:pt idx="53">
                  <c:v>0.25360062824673085</c:v>
                </c:pt>
                <c:pt idx="54">
                  <c:v>0.25360062824673085</c:v>
                </c:pt>
                <c:pt idx="55">
                  <c:v>0.25360062824673085</c:v>
                </c:pt>
                <c:pt idx="56">
                  <c:v>0.25360062824673085</c:v>
                </c:pt>
                <c:pt idx="57">
                  <c:v>0.25360062824673085</c:v>
                </c:pt>
                <c:pt idx="58">
                  <c:v>0.25360062824673085</c:v>
                </c:pt>
                <c:pt idx="59">
                  <c:v>0.25360062824673085</c:v>
                </c:pt>
                <c:pt idx="60">
                  <c:v>0.25360062824673085</c:v>
                </c:pt>
                <c:pt idx="61">
                  <c:v>0.25360062824673085</c:v>
                </c:pt>
                <c:pt idx="62">
                  <c:v>0.25360062824673085</c:v>
                </c:pt>
                <c:pt idx="63">
                  <c:v>0.25360062824673085</c:v>
                </c:pt>
                <c:pt idx="64">
                  <c:v>0.25360062824673085</c:v>
                </c:pt>
                <c:pt idx="65">
                  <c:v>0.25360062824673085</c:v>
                </c:pt>
                <c:pt idx="66">
                  <c:v>0.25360062824673085</c:v>
                </c:pt>
                <c:pt idx="67">
                  <c:v>0.25360062824673085</c:v>
                </c:pt>
                <c:pt idx="68">
                  <c:v>0.25360062824673085</c:v>
                </c:pt>
                <c:pt idx="69">
                  <c:v>0.25360062824673085</c:v>
                </c:pt>
                <c:pt idx="70">
                  <c:v>0.25360062824673085</c:v>
                </c:pt>
                <c:pt idx="71">
                  <c:v>0.25360062824673085</c:v>
                </c:pt>
                <c:pt idx="72">
                  <c:v>0.25360062824673085</c:v>
                </c:pt>
                <c:pt idx="73">
                  <c:v>0.25360062824673085</c:v>
                </c:pt>
                <c:pt idx="74">
                  <c:v>0.25360062824673085</c:v>
                </c:pt>
                <c:pt idx="75">
                  <c:v>0.25360062824673085</c:v>
                </c:pt>
                <c:pt idx="76">
                  <c:v>0.25360062824673085</c:v>
                </c:pt>
                <c:pt idx="77">
                  <c:v>0.25360062824673085</c:v>
                </c:pt>
                <c:pt idx="78">
                  <c:v>0.25360062824673085</c:v>
                </c:pt>
                <c:pt idx="79">
                  <c:v>0.25360062824673085</c:v>
                </c:pt>
                <c:pt idx="80">
                  <c:v>0.25360062824673085</c:v>
                </c:pt>
                <c:pt idx="81">
                  <c:v>0.25360062824673085</c:v>
                </c:pt>
                <c:pt idx="82">
                  <c:v>0.25360062824673085</c:v>
                </c:pt>
                <c:pt idx="83">
                  <c:v>0.25360062824673085</c:v>
                </c:pt>
                <c:pt idx="84">
                  <c:v>0.25360062824673085</c:v>
                </c:pt>
                <c:pt idx="85">
                  <c:v>0.25360062824673085</c:v>
                </c:pt>
                <c:pt idx="86">
                  <c:v>0.25360062824673085</c:v>
                </c:pt>
                <c:pt idx="87">
                  <c:v>0.25360062824673085</c:v>
                </c:pt>
                <c:pt idx="88">
                  <c:v>0.25360062824673085</c:v>
                </c:pt>
                <c:pt idx="89">
                  <c:v>0.25360062824673085</c:v>
                </c:pt>
                <c:pt idx="90">
                  <c:v>0.25360062824673085</c:v>
                </c:pt>
                <c:pt idx="91">
                  <c:v>0.25360062824673085</c:v>
                </c:pt>
                <c:pt idx="92">
                  <c:v>0.25360062824673085</c:v>
                </c:pt>
                <c:pt idx="93">
                  <c:v>0.25360062824673085</c:v>
                </c:pt>
                <c:pt idx="94">
                  <c:v>0.25360062824673085</c:v>
                </c:pt>
                <c:pt idx="95">
                  <c:v>0.25360062824673085</c:v>
                </c:pt>
                <c:pt idx="96">
                  <c:v>0.25360062824673085</c:v>
                </c:pt>
                <c:pt idx="97">
                  <c:v>0.25360062824673085</c:v>
                </c:pt>
                <c:pt idx="98">
                  <c:v>0.25360062824673085</c:v>
                </c:pt>
                <c:pt idx="99">
                  <c:v>0.25360062824673085</c:v>
                </c:pt>
                <c:pt idx="100">
                  <c:v>0.25360062824673085</c:v>
                </c:pt>
                <c:pt idx="101">
                  <c:v>0.25360062824673085</c:v>
                </c:pt>
                <c:pt idx="102">
                  <c:v>0.25360062824673085</c:v>
                </c:pt>
                <c:pt idx="103">
                  <c:v>0.25360062824673085</c:v>
                </c:pt>
                <c:pt idx="104">
                  <c:v>0.25360062824673085</c:v>
                </c:pt>
                <c:pt idx="105">
                  <c:v>0.25360062824673085</c:v>
                </c:pt>
                <c:pt idx="106">
                  <c:v>0.25360062824673085</c:v>
                </c:pt>
                <c:pt idx="107">
                  <c:v>0.25360062824673085</c:v>
                </c:pt>
                <c:pt idx="108">
                  <c:v>0.25360062824673085</c:v>
                </c:pt>
                <c:pt idx="109">
                  <c:v>0.25360062824673085</c:v>
                </c:pt>
                <c:pt idx="110">
                  <c:v>0.25360062824673085</c:v>
                </c:pt>
                <c:pt idx="111">
                  <c:v>0.25360062824673085</c:v>
                </c:pt>
                <c:pt idx="112">
                  <c:v>0.25360062824673085</c:v>
                </c:pt>
                <c:pt idx="113">
                  <c:v>0.25360062824673085</c:v>
                </c:pt>
                <c:pt idx="114">
                  <c:v>0.25360062824673085</c:v>
                </c:pt>
                <c:pt idx="115">
                  <c:v>0.25360062824673085</c:v>
                </c:pt>
                <c:pt idx="116">
                  <c:v>0.25360062824673085</c:v>
                </c:pt>
                <c:pt idx="117">
                  <c:v>0.25360062824673085</c:v>
                </c:pt>
                <c:pt idx="118">
                  <c:v>0.25360062824673085</c:v>
                </c:pt>
                <c:pt idx="119">
                  <c:v>0.25360062824673085</c:v>
                </c:pt>
                <c:pt idx="120">
                  <c:v>0.25360062824673085</c:v>
                </c:pt>
                <c:pt idx="121">
                  <c:v>0.25360062824673085</c:v>
                </c:pt>
                <c:pt idx="122">
                  <c:v>0.25360062824673085</c:v>
                </c:pt>
                <c:pt idx="123">
                  <c:v>0.25360062824673085</c:v>
                </c:pt>
                <c:pt idx="124">
                  <c:v>0.25360062824673085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573-4C67-B66D-C3012F87D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060328"/>
        <c:axId val="186059152"/>
      </c:scatterChart>
      <c:valAx>
        <c:axId val="186060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6059152"/>
        <c:crosses val="autoZero"/>
        <c:crossBetween val="midCat"/>
      </c:valAx>
      <c:valAx>
        <c:axId val="18605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6060328"/>
        <c:crosses val="autoZero"/>
        <c:crossBetween val="midCat"/>
      </c:valAx>
      <c:spPr>
        <a:noFill/>
        <a:ln>
          <a:solidFill>
            <a:schemeClr val="accent1"/>
          </a:solidFill>
        </a:ln>
        <a:effectLst/>
      </c:spPr>
    </c:plotArea>
    <c:legend>
      <c:legendPos val="r"/>
      <c:layout>
        <c:manualLayout>
          <c:xMode val="edge"/>
          <c:yMode val="edge"/>
          <c:x val="0.8480801335559266"/>
          <c:y val="0.38889034703995334"/>
          <c:w val="0.13856427378964942"/>
          <c:h val="0.2361118401866433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5.xml"/><Relationship Id="rId4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w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1.w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4" Type="http://schemas.openxmlformats.org/officeDocument/2006/relationships/image" Target="../media/image12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13</xdr:col>
      <xdr:colOff>124150</xdr:colOff>
      <xdr:row>4</xdr:row>
      <xdr:rowOff>60960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67640"/>
          <a:ext cx="1952950" cy="563880"/>
        </a:xfrm>
        <a:prstGeom prst="rect">
          <a:avLst/>
        </a:prstGeom>
        <a:solidFill>
          <a:schemeClr val="accent2"/>
        </a:solidFill>
      </xdr:spPr>
    </xdr:pic>
    <xdr:clientData/>
  </xdr:twoCellAnchor>
  <xdr:twoCellAnchor>
    <xdr:from>
      <xdr:col>8</xdr:col>
      <xdr:colOff>449580</xdr:colOff>
      <xdr:row>4</xdr:row>
      <xdr:rowOff>99060</xdr:rowOff>
    </xdr:from>
    <xdr:to>
      <xdr:col>12</xdr:col>
      <xdr:colOff>441960</xdr:colOff>
      <xdr:row>16</xdr:row>
      <xdr:rowOff>22860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 bwMode="auto">
        <a:xfrm flipV="1">
          <a:off x="4892040" y="769620"/>
          <a:ext cx="3086100" cy="198882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/>
          <a:tailEnd type="triangle"/>
        </a:ln>
        <a:effectLst/>
      </xdr:spPr>
    </xdr:cxnSp>
    <xdr:clientData/>
  </xdr:twoCellAnchor>
  <xdr:twoCellAnchor>
    <xdr:from>
      <xdr:col>12</xdr:col>
      <xdr:colOff>198120</xdr:colOff>
      <xdr:row>10</xdr:row>
      <xdr:rowOff>148590</xdr:rowOff>
    </xdr:from>
    <xdr:to>
      <xdr:col>16</xdr:col>
      <xdr:colOff>30480</xdr:colOff>
      <xdr:row>37</xdr:row>
      <xdr:rowOff>7620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577215</xdr:colOff>
      <xdr:row>14</xdr:row>
      <xdr:rowOff>17145</xdr:rowOff>
    </xdr:from>
    <xdr:to>
      <xdr:col>17</xdr:col>
      <xdr:colOff>350520</xdr:colOff>
      <xdr:row>28</xdr:row>
      <xdr:rowOff>121920</xdr:rowOff>
    </xdr:to>
    <xdr:graphicFrame macro="">
      <xdr:nvGraphicFramePr>
        <xdr:cNvPr id="2" name="Grafico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579120</xdr:colOff>
      <xdr:row>10</xdr:row>
      <xdr:rowOff>106680</xdr:rowOff>
    </xdr:from>
    <xdr:to>
      <xdr:col>22</xdr:col>
      <xdr:colOff>571500</xdr:colOff>
      <xdr:row>13</xdr:row>
      <xdr:rowOff>76200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 bwMode="auto">
        <a:xfrm>
          <a:off x="12230100" y="1783080"/>
          <a:ext cx="2430780" cy="47244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GB" sz="1100"/>
        </a:p>
      </xdr:txBody>
    </xdr:sp>
    <xdr:clientData/>
  </xdr:twoCellAnchor>
  <xdr:twoCellAnchor>
    <xdr:from>
      <xdr:col>18</xdr:col>
      <xdr:colOff>563880</xdr:colOff>
      <xdr:row>7</xdr:row>
      <xdr:rowOff>91440</xdr:rowOff>
    </xdr:from>
    <xdr:to>
      <xdr:col>18</xdr:col>
      <xdr:colOff>563880</xdr:colOff>
      <xdr:row>13</xdr:row>
      <xdr:rowOff>83820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 bwMode="auto">
        <a:xfrm>
          <a:off x="10835640" y="259080"/>
          <a:ext cx="0" cy="99822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22</xdr:col>
      <xdr:colOff>548640</xdr:colOff>
      <xdr:row>7</xdr:row>
      <xdr:rowOff>53340</xdr:rowOff>
    </xdr:from>
    <xdr:to>
      <xdr:col>22</xdr:col>
      <xdr:colOff>548640</xdr:colOff>
      <xdr:row>13</xdr:row>
      <xdr:rowOff>45720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 bwMode="auto">
        <a:xfrm>
          <a:off x="13258800" y="220980"/>
          <a:ext cx="0" cy="99822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oneCellAnchor>
    <xdr:from>
      <xdr:col>18</xdr:col>
      <xdr:colOff>320040</xdr:colOff>
      <xdr:row>18</xdr:row>
      <xdr:rowOff>30480</xdr:rowOff>
    </xdr:from>
    <xdr:ext cx="7443191" cy="2159053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10591800" y="2042160"/>
          <a:ext cx="7443191" cy="21590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t-IT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Primo passo (n=0)</a:t>
          </a:r>
          <a:endParaRPr lang="en-GB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 è noto (“condizione iniziale”). </a:t>
          </a:r>
          <a:endParaRPr lang="en-GB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Si calcola la sezione S(ho), la velocità vo, il termine cinetico (Ho si calcola facilmente) , il raggio idraulico, la perdita di carico Jo. </a:t>
          </a:r>
          <a:endParaRPr lang="en-GB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Dalla 1ter si ricava H1;  da questa h1</a:t>
          </a:r>
          <a:endParaRPr lang="en-GB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# Passi successivi  (n=1,2,3, …..)</a:t>
          </a:r>
          <a:endParaRPr lang="en-GB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 si calcola attarverso l'equazione , utilizzando</a:t>
          </a:r>
          <a:r>
            <a:rPr lang="it-IT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valori relativi al passo preceente</a:t>
          </a:r>
          <a:endParaRPr lang="en-GB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Si calcolano poi  la sezione , la velocità,</a:t>
          </a:r>
          <a:r>
            <a:rPr lang="it-IT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il </a:t>
          </a:r>
          <a:r>
            <a:rPr lang="it-IT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termine cinetico, il raggio idraulico, </a:t>
          </a:r>
        </a:p>
        <a:p>
          <a:r>
            <a:rPr lang="it-IT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la perdita di carico Jn. La pendenza ié nota </a:t>
          </a:r>
          <a:endParaRPr lang="en-GB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GB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Si ritorna a #</a:t>
          </a:r>
          <a:endParaRPr lang="en-GB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GB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358140</xdr:colOff>
          <xdr:row>15</xdr:row>
          <xdr:rowOff>30480</xdr:rowOff>
        </xdr:from>
        <xdr:to>
          <xdr:col>25</xdr:col>
          <xdr:colOff>563880</xdr:colOff>
          <xdr:row>18</xdr:row>
          <xdr:rowOff>144780</xdr:rowOff>
        </xdr:to>
        <xdr:sp macro="" textlink="">
          <xdr:nvSpPr>
            <xdr:cNvPr id="115713" name="Object 1" hidden="1">
              <a:extLst>
                <a:ext uri="{63B3BB69-23CF-44E3-9099-C40C66FF867C}">
                  <a14:compatExt spid="_x0000_s115713"/>
                </a:ext>
                <a:ext uri="{FF2B5EF4-FFF2-40B4-BE49-F238E27FC236}">
                  <a16:creationId xmlns:a16="http://schemas.microsoft.com/office/drawing/2014/main" id="{00000000-0008-0000-0400-000001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594360</xdr:colOff>
      <xdr:row>1</xdr:row>
      <xdr:rowOff>83820</xdr:rowOff>
    </xdr:from>
    <xdr:to>
      <xdr:col>12</xdr:col>
      <xdr:colOff>539276</xdr:colOff>
      <xdr:row>5</xdr:row>
      <xdr:rowOff>99060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9660" y="251460"/>
          <a:ext cx="2992916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541020</xdr:colOff>
      <xdr:row>3</xdr:row>
      <xdr:rowOff>30480</xdr:rowOff>
    </xdr:from>
    <xdr:ext cx="1154290" cy="436786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7894320" y="533400"/>
          <a:ext cx="115429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/>
            <a:t>Derivata di H(h), </a:t>
          </a:r>
        </a:p>
        <a:p>
          <a:r>
            <a:rPr lang="en-GB" sz="1100"/>
            <a:t>dagli appunti</a:t>
          </a:r>
        </a:p>
      </xdr:txBody>
    </xdr:sp>
    <xdr:clientData/>
  </xdr:oneCellAnchor>
  <xdr:oneCellAnchor>
    <xdr:from>
      <xdr:col>12</xdr:col>
      <xdr:colOff>541020</xdr:colOff>
      <xdr:row>5</xdr:row>
      <xdr:rowOff>53340</xdr:rowOff>
    </xdr:from>
    <xdr:ext cx="1604029" cy="64998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400-000008000000}"/>
                </a:ext>
              </a:extLst>
            </xdr:cNvPr>
            <xdr:cNvSpPr txBox="1"/>
          </xdr:nvSpPr>
          <xdr:spPr>
            <a:xfrm>
              <a:off x="7894320" y="891540"/>
              <a:ext cx="1604029" cy="6499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GB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it-IT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𝜕</m:t>
                        </m:r>
                        <m:r>
                          <a:rPr lang="it-IT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𝐻</m:t>
                        </m:r>
                      </m:num>
                      <m:den>
                        <m:r>
                          <a:rPr lang="it-IT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𝜕</m:t>
                        </m:r>
                        <m:r>
                          <a:rPr lang="it-IT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h</m:t>
                        </m:r>
                      </m:den>
                    </m:f>
                    <m:r>
                      <a:rPr lang="it-IT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=1−</m:t>
                    </m:r>
                    <m:f>
                      <m:fPr>
                        <m:ctrlPr>
                          <a:rPr lang="en-GB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/>
                      <m:den>
                        <m:r>
                          <a:rPr lang="it-IT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𝑔</m:t>
                        </m:r>
                      </m:den>
                    </m:f>
                    <m:sSup>
                      <m:sSupPr>
                        <m:ctrlPr>
                          <a:rPr lang="en-GB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f>
                          <m:fPr>
                            <m:ctrlPr>
                              <a:rPr lang="en-GB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it-IT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𝑄</m:t>
                            </m:r>
                          </m:num>
                          <m:den>
                            <m:sSup>
                              <m:sSupPr>
                                <m:ctrlPr>
                                  <a:rPr lang="en-GB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a:rPr lang="it-IT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𝜎</m:t>
                                </m:r>
                              </m:e>
                              <m:sup>
                                <m:r>
                                  <a:rPr lang="it-IT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</m:sup>
                            </m:sSup>
                          </m:den>
                        </m:f>
                      </m:e>
                      <m:sup>
                        <m:r>
                          <a:rPr lang="it-IT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p>
                    </m:sSup>
                    <m:r>
                      <a:rPr lang="it-IT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𝑏</m:t>
                    </m:r>
                    <m:d>
                      <m:dPr>
                        <m:ctrlPr>
                          <a:rPr lang="en-GB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it-IT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h</m:t>
                        </m:r>
                      </m:e>
                    </m:d>
                  </m:oMath>
                </m:oMathPara>
              </a14:m>
              <a:endParaRPr lang="en-GB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B6CB75D6-88F5-44E9-B227-FEBE78496FDD}"/>
                </a:ext>
              </a:extLst>
            </xdr:cNvPr>
            <xdr:cNvSpPr txBox="1"/>
          </xdr:nvSpPr>
          <xdr:spPr>
            <a:xfrm>
              <a:off x="7894320" y="891540"/>
              <a:ext cx="1604029" cy="6499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it-IT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𝜕𝐻</a:t>
              </a:r>
              <a:r>
                <a:rPr lang="en-GB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/</a:t>
              </a:r>
              <a:r>
                <a:rPr lang="it-IT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𝜕ℎ=1−</a:t>
              </a:r>
              <a:r>
                <a:rPr lang="en-GB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/</a:t>
              </a:r>
              <a:r>
                <a:rPr lang="it-IT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𝑔</a:t>
              </a:r>
              <a:r>
                <a:rPr lang="en-GB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〖</a:t>
              </a:r>
              <a:r>
                <a:rPr lang="it-IT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𝑄</a:t>
              </a:r>
              <a:r>
                <a:rPr lang="en-GB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/</a:t>
              </a:r>
              <a:r>
                <a:rPr lang="it-IT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𝜎</a:t>
              </a:r>
              <a:r>
                <a:rPr lang="en-GB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^</a:t>
              </a:r>
              <a:r>
                <a:rPr lang="it-IT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3 </a:t>
              </a:r>
              <a:r>
                <a:rPr lang="en-GB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〗^</a:t>
              </a:r>
              <a:r>
                <a:rPr lang="it-IT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 𝑏</a:t>
              </a:r>
              <a:r>
                <a:rPr lang="en-GB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it-IT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ℎ)</a:t>
              </a:r>
              <a:endParaRPr lang="en-GB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/>
            </a:p>
          </xdr:txBody>
        </xdr:sp>
      </mc:Fallback>
    </mc:AlternateContent>
    <xdr:clientData/>
  </xdr:oneCellAnchor>
  <xdr:oneCellAnchor>
    <xdr:from>
      <xdr:col>14</xdr:col>
      <xdr:colOff>731520</xdr:colOff>
      <xdr:row>5</xdr:row>
      <xdr:rowOff>53340</xdr:rowOff>
    </xdr:from>
    <xdr:ext cx="892360" cy="5924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400-00000A000000}"/>
                </a:ext>
              </a:extLst>
            </xdr:cNvPr>
            <xdr:cNvSpPr txBox="1"/>
          </xdr:nvSpPr>
          <xdr:spPr>
            <a:xfrm>
              <a:off x="9479280" y="891540"/>
              <a:ext cx="892360" cy="5924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𝑘</m:t>
                    </m:r>
                    <m:r>
                      <a:rPr lang="it-IT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rad>
                      <m:radPr>
                        <m:ctrlPr>
                          <a:rPr lang="en-GB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radPr>
                      <m:deg>
                        <m:eqArr>
                          <m:eqArrPr>
                            <m:ctrlPr>
                              <a:rPr lang="en-GB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eqArrPr>
                          <m:e>
                            <m:r>
                              <a:rPr lang="it-IT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3</m:t>
                            </m:r>
                          </m:e>
                          <m:e/>
                        </m:eqArr>
                      </m:deg>
                      <m:e>
                        <m:f>
                          <m:fPr>
                            <m:ctrlPr>
                              <a:rPr lang="en-GB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sSup>
                              <m:sSupPr>
                                <m:ctrlPr>
                                  <a:rPr lang="en-GB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a:rPr lang="it-IT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𝑄</m:t>
                                </m:r>
                              </m:e>
                              <m:sup>
                                <m:r>
                                  <a:rPr lang="it-IT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p>
                            </m:sSup>
                          </m:num>
                          <m:den>
                            <m:r>
                              <a:rPr lang="it-IT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𝑔</m:t>
                            </m:r>
                            <m:sSup>
                              <m:sSupPr>
                                <m:ctrlPr>
                                  <a:rPr lang="en-GB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a:rPr lang="it-IT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𝑏</m:t>
                                </m:r>
                              </m:e>
                              <m:sup>
                                <m:r>
                                  <a:rPr lang="it-IT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p>
                            </m:sSup>
                          </m:den>
                        </m:f>
                      </m:e>
                    </m:rad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F4CD06C6-FC72-4AB4-8064-0B920D17B34A}"/>
                </a:ext>
              </a:extLst>
            </xdr:cNvPr>
            <xdr:cNvSpPr txBox="1"/>
          </xdr:nvSpPr>
          <xdr:spPr>
            <a:xfrm>
              <a:off x="9479280" y="891540"/>
              <a:ext cx="892360" cy="5924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it-IT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𝑘=</a:t>
              </a:r>
              <a:r>
                <a:rPr lang="en-GB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√(█(</a:t>
              </a:r>
              <a:r>
                <a:rPr lang="it-IT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3@)&amp;𝑄</a:t>
              </a:r>
              <a:r>
                <a:rPr lang="en-GB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^</a:t>
              </a:r>
              <a:r>
                <a:rPr lang="it-IT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en-GB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/(</a:t>
              </a:r>
              <a:r>
                <a:rPr lang="it-IT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𝑔𝑏</a:t>
              </a:r>
              <a:r>
                <a:rPr lang="en-GB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^</a:t>
              </a:r>
              <a:r>
                <a:rPr lang="it-IT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 </a:t>
              </a:r>
              <a:r>
                <a:rPr lang="en-GB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))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0.19316</cdr:x>
      <cdr:y>0.69231</cdr:y>
    </cdr:from>
    <cdr:to>
      <cdr:x>0.46009</cdr:x>
      <cdr:y>0.69822</cdr:y>
    </cdr:to>
    <cdr:cxnSp macro="">
      <cdr:nvCxnSpPr>
        <cdr:cNvPr id="2" name="Straight Arrow Connector 1">
          <a:extLst xmlns:a="http://schemas.openxmlformats.org/drawingml/2006/main">
            <a:ext uri="{FF2B5EF4-FFF2-40B4-BE49-F238E27FC236}">
              <a16:creationId xmlns:a16="http://schemas.microsoft.com/office/drawing/2014/main" id="{0B9F7CDA-AE81-44A3-B0CF-40F751D0A80B}"/>
            </a:ext>
          </a:extLst>
        </cdr:cNvPr>
        <cdr:cNvCxnSpPr/>
      </cdr:nvCxnSpPr>
      <cdr:spPr bwMode="auto">
        <a:xfrm xmlns:a="http://schemas.openxmlformats.org/drawingml/2006/main" flipV="1">
          <a:off x="880563" y="1697355"/>
          <a:ext cx="1216842" cy="14502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0.06579</cdr:x>
      <cdr:y>0.2223</cdr:y>
    </cdr:from>
    <cdr:to>
      <cdr:x>0.08693</cdr:x>
      <cdr:y>0.26523</cdr:y>
    </cdr:to>
    <cdr:sp macro="" textlink="">
      <cdr:nvSpPr>
        <cdr:cNvPr id="5" name="Oval 4">
          <a:extLst xmlns:a="http://schemas.openxmlformats.org/drawingml/2006/main">
            <a:ext uri="{FF2B5EF4-FFF2-40B4-BE49-F238E27FC236}">
              <a16:creationId xmlns:a16="http://schemas.microsoft.com/office/drawing/2014/main" id="{13DF3B5C-1F43-4C14-970D-35BD8B958E02}"/>
            </a:ext>
          </a:extLst>
        </cdr:cNvPr>
        <cdr:cNvSpPr/>
      </cdr:nvSpPr>
      <cdr:spPr bwMode="auto">
        <a:xfrm xmlns:a="http://schemas.openxmlformats.org/drawingml/2006/main">
          <a:off x="299925" y="545016"/>
          <a:ext cx="96370" cy="105253"/>
        </a:xfrm>
        <a:prstGeom xmlns:a="http://schemas.openxmlformats.org/drawingml/2006/main" prst="ellipse">
          <a:avLst/>
        </a:prstGeom>
        <a:solidFill xmlns:a="http://schemas.openxmlformats.org/drawingml/2006/main">
          <a:schemeClr val="tx1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0.18982</cdr:x>
      <cdr:y>0.53691</cdr:y>
    </cdr:from>
    <cdr:to>
      <cdr:x>0.6005</cdr:x>
      <cdr:y>0.54282</cdr:y>
    </cdr:to>
    <cdr:cxnSp macro="">
      <cdr:nvCxnSpPr>
        <cdr:cNvPr id="6" name="Straight Arrow Connector 5">
          <a:extLst xmlns:a="http://schemas.openxmlformats.org/drawingml/2006/main">
            <a:ext uri="{FF2B5EF4-FFF2-40B4-BE49-F238E27FC236}">
              <a16:creationId xmlns:a16="http://schemas.microsoft.com/office/drawing/2014/main" id="{464406BA-24AE-4465-A0B9-345A37964245}"/>
            </a:ext>
          </a:extLst>
        </cdr:cNvPr>
        <cdr:cNvCxnSpPr/>
      </cdr:nvCxnSpPr>
      <cdr:spPr bwMode="auto">
        <a:xfrm xmlns:a="http://schemas.openxmlformats.org/drawingml/2006/main" flipV="1">
          <a:off x="865323" y="1316355"/>
          <a:ext cx="1872162" cy="14502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0.23443</cdr:x>
      <cdr:y>0.46853</cdr:y>
    </cdr:from>
    <cdr:to>
      <cdr:x>0.27789</cdr:x>
      <cdr:y>0.6115</cdr:y>
    </cdr:to>
    <cdr:grpSp>
      <cdr:nvGrpSpPr>
        <cdr:cNvPr id="7" name="Gruppo 95">
          <a:extLst xmlns:a="http://schemas.openxmlformats.org/drawingml/2006/main">
            <a:ext uri="{FF2B5EF4-FFF2-40B4-BE49-F238E27FC236}">
              <a16:creationId xmlns:a16="http://schemas.microsoft.com/office/drawing/2014/main" id="{D78EEB93-70F7-4622-B97C-59195B1C7F9B}"/>
            </a:ext>
          </a:extLst>
        </cdr:cNvPr>
        <cdr:cNvGrpSpPr/>
      </cdr:nvGrpSpPr>
      <cdr:grpSpPr>
        <a:xfrm xmlns:a="http://schemas.openxmlformats.org/drawingml/2006/main">
          <a:off x="1068688" y="1148711"/>
          <a:ext cx="198119" cy="350525"/>
          <a:chOff x="-2653491" y="-6793418"/>
          <a:chExt cx="1125782" cy="1913532"/>
        </a:xfrm>
      </cdr:grpSpPr>
      <cdr:grpSp>
        <cdr:nvGrpSpPr>
          <cdr:cNvPr id="8" name="Gruppo 83">
            <a:extLst xmlns:a="http://schemas.openxmlformats.org/drawingml/2006/main">
              <a:ext uri="{FF2B5EF4-FFF2-40B4-BE49-F238E27FC236}">
                <a16:creationId xmlns:a16="http://schemas.microsoft.com/office/drawing/2014/main" id="{45B852F1-F7F3-4AD0-9CE4-0BF72D7E2021}"/>
              </a:ext>
            </a:extLst>
          </cdr:cNvPr>
          <cdr:cNvGrpSpPr/>
        </cdr:nvGrpSpPr>
        <cdr:grpSpPr>
          <a:xfrm xmlns:a="http://schemas.openxmlformats.org/drawingml/2006/main">
            <a:off x="-2653491" y="-6793418"/>
            <a:ext cx="1125782" cy="1913532"/>
            <a:chOff x="0" y="-1"/>
            <a:chExt cx="428628" cy="714380"/>
          </a:xfrm>
        </cdr:grpSpPr>
        <cdr:cxnSp macro="">
          <cdr:nvCxnSpPr>
            <cdr:cNvPr id="10" name="Connettore 1 84">
              <a:extLst xmlns:a="http://schemas.openxmlformats.org/drawingml/2006/main">
                <a:ext uri="{FF2B5EF4-FFF2-40B4-BE49-F238E27FC236}">
                  <a16:creationId xmlns:a16="http://schemas.microsoft.com/office/drawing/2014/main" id="{8E36493B-29CA-4F6A-BFAA-FAB0BE05B63B}"/>
                </a:ext>
              </a:extLst>
            </cdr:cNvPr>
            <cdr:cNvCxnSpPr/>
          </cdr:nvCxnSpPr>
          <cdr:spPr>
            <a:xfrm xmlns:a="http://schemas.openxmlformats.org/drawingml/2006/main" rot="16200000" flipH="1">
              <a:off x="142876" y="428627"/>
              <a:ext cx="357190" cy="214314"/>
            </a:xfrm>
            <a:prstGeom xmlns:a="http://schemas.openxmlformats.org/drawingml/2006/main" prst="line">
              <a:avLst/>
            </a:prstGeom>
            <a:ln xmlns:a="http://schemas.openxmlformats.org/drawingml/2006/main" w="19050">
              <a:solidFill>
                <a:schemeClr val="accent2">
                  <a:lumMod val="60000"/>
                  <a:lumOff val="4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</cdr:cxnSp>
        <cdr:cxnSp macro="">
          <cdr:nvCxnSpPr>
            <cdr:cNvPr id="11" name="Connettore 1 85">
              <a:extLst xmlns:a="http://schemas.openxmlformats.org/drawingml/2006/main">
                <a:ext uri="{FF2B5EF4-FFF2-40B4-BE49-F238E27FC236}">
                  <a16:creationId xmlns:a16="http://schemas.microsoft.com/office/drawing/2014/main" id="{C0698C04-13EC-453D-A819-6FDBC39B5E1F}"/>
                </a:ext>
              </a:extLst>
            </cdr:cNvPr>
            <cdr:cNvCxnSpPr/>
          </cdr:nvCxnSpPr>
          <cdr:spPr>
            <a:xfrm xmlns:a="http://schemas.openxmlformats.org/drawingml/2006/main" rot="5400000">
              <a:off x="-66676" y="423865"/>
              <a:ext cx="357190" cy="223838"/>
            </a:xfrm>
            <a:prstGeom xmlns:a="http://schemas.openxmlformats.org/drawingml/2006/main" prst="line">
              <a:avLst/>
            </a:prstGeom>
            <a:ln xmlns:a="http://schemas.openxmlformats.org/drawingml/2006/main" w="19050">
              <a:solidFill>
                <a:schemeClr val="accent2">
                  <a:lumMod val="60000"/>
                  <a:lumOff val="4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</cdr:cxnSp>
        <cdr:cxnSp macro="">
          <cdr:nvCxnSpPr>
            <cdr:cNvPr id="12" name="Connettore 1 86">
              <a:extLst xmlns:a="http://schemas.openxmlformats.org/drawingml/2006/main">
                <a:ext uri="{FF2B5EF4-FFF2-40B4-BE49-F238E27FC236}">
                  <a16:creationId xmlns:a16="http://schemas.microsoft.com/office/drawing/2014/main" id="{F7C90120-7BEC-479B-B77A-21240ADB9E61}"/>
                </a:ext>
              </a:extLst>
            </cdr:cNvPr>
            <cdr:cNvCxnSpPr/>
          </cdr:nvCxnSpPr>
          <cdr:spPr>
            <a:xfrm xmlns:a="http://schemas.openxmlformats.org/drawingml/2006/main" rot="5400000">
              <a:off x="72232" y="213519"/>
              <a:ext cx="285752" cy="1588"/>
            </a:xfrm>
            <a:prstGeom xmlns:a="http://schemas.openxmlformats.org/drawingml/2006/main" prst="line">
              <a:avLst/>
            </a:prstGeom>
            <a:ln xmlns:a="http://schemas.openxmlformats.org/drawingml/2006/main" w="19050">
              <a:solidFill>
                <a:schemeClr val="accent2">
                  <a:lumMod val="60000"/>
                  <a:lumOff val="4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</cdr:cxnSp>
        <cdr:cxnSp macro="">
          <cdr:nvCxnSpPr>
            <cdr:cNvPr id="13" name="Connettore 1 87">
              <a:extLst xmlns:a="http://schemas.openxmlformats.org/drawingml/2006/main">
                <a:ext uri="{FF2B5EF4-FFF2-40B4-BE49-F238E27FC236}">
                  <a16:creationId xmlns:a16="http://schemas.microsoft.com/office/drawing/2014/main" id="{34B25B7A-D0E9-4A9D-AA35-4A7DE7EAC792}"/>
                </a:ext>
              </a:extLst>
            </cdr:cNvPr>
            <cdr:cNvCxnSpPr/>
          </cdr:nvCxnSpPr>
          <cdr:spPr>
            <a:xfrm xmlns:a="http://schemas.openxmlformats.org/drawingml/2006/main" rot="16200000" flipH="1">
              <a:off x="214314" y="142875"/>
              <a:ext cx="214314" cy="214314"/>
            </a:xfrm>
            <a:prstGeom xmlns:a="http://schemas.openxmlformats.org/drawingml/2006/main" prst="line">
              <a:avLst/>
            </a:prstGeom>
            <a:ln xmlns:a="http://schemas.openxmlformats.org/drawingml/2006/main" w="19050">
              <a:solidFill>
                <a:schemeClr val="accent2">
                  <a:lumMod val="60000"/>
                  <a:lumOff val="4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</cdr:cxnSp>
        <cdr:cxnSp macro="">
          <cdr:nvCxnSpPr>
            <cdr:cNvPr id="14" name="Connettore 1 88">
              <a:extLst xmlns:a="http://schemas.openxmlformats.org/drawingml/2006/main">
                <a:ext uri="{FF2B5EF4-FFF2-40B4-BE49-F238E27FC236}">
                  <a16:creationId xmlns:a16="http://schemas.microsoft.com/office/drawing/2014/main" id="{C932CB4E-9C5E-461D-9DEF-66A67920C9D7}"/>
                </a:ext>
              </a:extLst>
            </cdr:cNvPr>
            <cdr:cNvCxnSpPr/>
          </cdr:nvCxnSpPr>
          <cdr:spPr>
            <a:xfrm xmlns:a="http://schemas.openxmlformats.org/drawingml/2006/main" rot="10800000" flipV="1">
              <a:off x="0" y="142875"/>
              <a:ext cx="223838" cy="214314"/>
            </a:xfrm>
            <a:prstGeom xmlns:a="http://schemas.openxmlformats.org/drawingml/2006/main" prst="line">
              <a:avLst/>
            </a:prstGeom>
            <a:ln xmlns:a="http://schemas.openxmlformats.org/drawingml/2006/main" w="19050">
              <a:solidFill>
                <a:schemeClr val="accent2">
                  <a:lumMod val="60000"/>
                  <a:lumOff val="4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</cdr:cxnSp>
        <cdr:sp macro="" textlink="">
          <cdr:nvSpPr>
            <cdr:cNvPr id="15" name="Ovale 89">
              <a:extLst xmlns:a="http://schemas.openxmlformats.org/drawingml/2006/main">
                <a:ext uri="{FF2B5EF4-FFF2-40B4-BE49-F238E27FC236}">
                  <a16:creationId xmlns:a16="http://schemas.microsoft.com/office/drawing/2014/main" id="{46F167F1-357F-4F22-AF0A-5090FFBE1C36}"/>
                </a:ext>
              </a:extLst>
            </cdr:cNvPr>
            <cdr:cNvSpPr/>
          </cdr:nvSpPr>
          <cdr:spPr>
            <a:xfrm xmlns:a="http://schemas.openxmlformats.org/drawingml/2006/main">
              <a:off x="142876" y="-1"/>
              <a:ext cx="142876" cy="142876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chemeClr val="accent2">
                <a:lumMod val="60000"/>
                <a:lumOff val="40000"/>
              </a:schemeClr>
            </a:solidFill>
            <a:ln xmlns:a="http://schemas.openxmlformats.org/drawingml/2006/main">
              <a:solidFill>
                <a:schemeClr val="accent2">
                  <a:lumMod val="60000"/>
                  <a:lumOff val="40000"/>
                </a:schemeClr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tlCol="0" anchor="ctr"/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</cdr:grpSp>
      <cdr:sp macro="" textlink="">
        <cdr:nvSpPr>
          <cdr:cNvPr id="9" name="Triangolo isoscele 94">
            <a:extLst xmlns:a="http://schemas.openxmlformats.org/drawingml/2006/main">
              <a:ext uri="{FF2B5EF4-FFF2-40B4-BE49-F238E27FC236}">
                <a16:creationId xmlns:a16="http://schemas.microsoft.com/office/drawing/2014/main" id="{E0818D03-91CE-4C62-9D0A-60D3B435DF2D}"/>
              </a:ext>
            </a:extLst>
          </cdr:cNvPr>
          <cdr:cNvSpPr/>
        </cdr:nvSpPr>
        <cdr:spPr>
          <a:xfrm xmlns:a="http://schemas.openxmlformats.org/drawingml/2006/main">
            <a:off x="-2465861" y="-5836649"/>
            <a:ext cx="750521" cy="382706"/>
          </a:xfrm>
          <a:prstGeom xmlns:a="http://schemas.openxmlformats.org/drawingml/2006/main" prst="triangle">
            <a:avLst/>
          </a:prstGeom>
          <a:solidFill xmlns:a="http://schemas.openxmlformats.org/drawingml/2006/main">
            <a:schemeClr val="accent2">
              <a:lumMod val="60000"/>
              <a:lumOff val="40000"/>
            </a:schemeClr>
          </a:solidFill>
          <a:ln xmlns:a="http://schemas.openxmlformats.org/drawingml/2006/main">
            <a:solidFill>
              <a:schemeClr val="accent2">
                <a:lumMod val="60000"/>
                <a:lumOff val="40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ctr"/>
          <a:lstStyle xmlns:a="http://schemas.openxmlformats.org/drawingml/2006/main"/>
          <a:p xmlns:a="http://schemas.openxmlformats.org/drawingml/2006/main">
            <a:endParaRPr lang="en-GB"/>
          </a:p>
        </cdr:txBody>
      </cdr:sp>
    </cdr:grp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11</xdr:row>
      <xdr:rowOff>152400</xdr:rowOff>
    </xdr:from>
    <xdr:to>
      <xdr:col>19</xdr:col>
      <xdr:colOff>142875</xdr:colOff>
      <xdr:row>28</xdr:row>
      <xdr:rowOff>142875</xdr:rowOff>
    </xdr:to>
    <xdr:graphicFrame macro="">
      <xdr:nvGraphicFramePr>
        <xdr:cNvPr id="3341" name="Grafico 2">
          <a:extLst>
            <a:ext uri="{FF2B5EF4-FFF2-40B4-BE49-F238E27FC236}">
              <a16:creationId xmlns:a16="http://schemas.microsoft.com/office/drawing/2014/main" id="{00000000-0008-0000-0500-00000D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295275</xdr:colOff>
      <xdr:row>11</xdr:row>
      <xdr:rowOff>123825</xdr:rowOff>
    </xdr:from>
    <xdr:to>
      <xdr:col>19</xdr:col>
      <xdr:colOff>95250</xdr:colOff>
      <xdr:row>28</xdr:row>
      <xdr:rowOff>114300</xdr:rowOff>
    </xdr:to>
    <xdr:graphicFrame macro="">
      <xdr:nvGraphicFramePr>
        <xdr:cNvPr id="3342" name="Grafico 3">
          <a:extLst>
            <a:ext uri="{FF2B5EF4-FFF2-40B4-BE49-F238E27FC236}">
              <a16:creationId xmlns:a16="http://schemas.microsoft.com/office/drawing/2014/main" id="{00000000-0008-0000-0500-00000E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0.07114</cdr:x>
      <cdr:y>0.60027</cdr:y>
    </cdr:from>
    <cdr:to>
      <cdr:x>0.22101</cdr:x>
      <cdr:y>0.60809</cdr:y>
    </cdr:to>
    <cdr:cxnSp macro="">
      <cdr:nvCxnSpPr>
        <cdr:cNvPr id="2" name="Straight Arrow Connector 1">
          <a:extLst xmlns:a="http://schemas.openxmlformats.org/drawingml/2006/main">
            <a:ext uri="{FF2B5EF4-FFF2-40B4-BE49-F238E27FC236}">
              <a16:creationId xmlns:a16="http://schemas.microsoft.com/office/drawing/2014/main" id="{0B9F7CDA-AE81-44A3-B0CF-40F751D0A80B}"/>
            </a:ext>
          </a:extLst>
        </cdr:cNvPr>
        <cdr:cNvCxnSpPr/>
      </cdr:nvCxnSpPr>
      <cdr:spPr bwMode="auto">
        <a:xfrm xmlns:a="http://schemas.openxmlformats.org/drawingml/2006/main" flipV="1">
          <a:off x="410239" y="1704975"/>
          <a:ext cx="864206" cy="22226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0.05242</cdr:x>
      <cdr:y>0.29689</cdr:y>
    </cdr:from>
    <cdr:to>
      <cdr:x>0.07356</cdr:x>
      <cdr:y>0.33982</cdr:y>
    </cdr:to>
    <cdr:sp macro="" textlink="">
      <cdr:nvSpPr>
        <cdr:cNvPr id="5" name="Oval 4">
          <a:extLst xmlns:a="http://schemas.openxmlformats.org/drawingml/2006/main">
            <a:ext uri="{FF2B5EF4-FFF2-40B4-BE49-F238E27FC236}">
              <a16:creationId xmlns:a16="http://schemas.microsoft.com/office/drawing/2014/main" id="{13DF3B5C-1F43-4C14-970D-35BD8B958E02}"/>
            </a:ext>
          </a:extLst>
        </cdr:cNvPr>
        <cdr:cNvSpPr/>
      </cdr:nvSpPr>
      <cdr:spPr bwMode="auto">
        <a:xfrm xmlns:a="http://schemas.openxmlformats.org/drawingml/2006/main">
          <a:off x="302260" y="843280"/>
          <a:ext cx="121920" cy="121920"/>
        </a:xfrm>
        <a:prstGeom xmlns:a="http://schemas.openxmlformats.org/drawingml/2006/main" prst="ellipse">
          <a:avLst/>
        </a:prstGeom>
        <a:solidFill xmlns:a="http://schemas.openxmlformats.org/drawingml/2006/main">
          <a:schemeClr val="tx1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26</xdr:row>
      <xdr:rowOff>47625</xdr:rowOff>
    </xdr:from>
    <xdr:to>
      <xdr:col>11</xdr:col>
      <xdr:colOff>352425</xdr:colOff>
      <xdr:row>53</xdr:row>
      <xdr:rowOff>57150</xdr:rowOff>
    </xdr:to>
    <xdr:graphicFrame macro="">
      <xdr:nvGraphicFramePr>
        <xdr:cNvPr id="2525" name="Grafico 1">
          <a:extLst>
            <a:ext uri="{FF2B5EF4-FFF2-40B4-BE49-F238E27FC236}">
              <a16:creationId xmlns:a16="http://schemas.microsoft.com/office/drawing/2014/main" id="{00000000-0008-0000-0600-0000DD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236601</xdr:colOff>
      <xdr:row>25</xdr:row>
      <xdr:rowOff>114300</xdr:rowOff>
    </xdr:from>
    <xdr:to>
      <xdr:col>24</xdr:col>
      <xdr:colOff>49149</xdr:colOff>
      <xdr:row>49</xdr:row>
      <xdr:rowOff>13335</xdr:rowOff>
    </xdr:to>
    <xdr:graphicFrame macro="">
      <xdr:nvGraphicFramePr>
        <xdr:cNvPr id="2526" name="Grafico 1">
          <a:extLst>
            <a:ext uri="{FF2B5EF4-FFF2-40B4-BE49-F238E27FC236}">
              <a16:creationId xmlns:a16="http://schemas.microsoft.com/office/drawing/2014/main" id="{00000000-0008-0000-0600-0000DE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17</xdr:col>
      <xdr:colOff>130175</xdr:colOff>
      <xdr:row>1</xdr:row>
      <xdr:rowOff>47625</xdr:rowOff>
    </xdr:from>
    <xdr:ext cx="326980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sellaDiTesto 1">
              <a:extLst>
                <a:ext uri="{FF2B5EF4-FFF2-40B4-BE49-F238E27FC236}">
                  <a16:creationId xmlns:a16="http://schemas.microsoft.com/office/drawing/2014/main" id="{00000000-0008-0000-0600-000002000000}"/>
                </a:ext>
              </a:extLst>
            </xdr:cNvPr>
            <xdr:cNvSpPr txBox="1"/>
          </xdr:nvSpPr>
          <xdr:spPr>
            <a:xfrm>
              <a:off x="11826875" y="206375"/>
              <a:ext cx="3284915" cy="11081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it-IT" sz="1100" b="0" i="1">
                      <a:latin typeface="Cambria Math" panose="02040503050406030204" pitchFamily="18" charset="0"/>
                    </a:rPr>
                    <m:t>𝑁</m:t>
                  </m:r>
                  <m:r>
                    <a:rPr lang="it-IT" sz="1100" b="0" i="1">
                      <a:latin typeface="Cambria Math" panose="02040503050406030204" pitchFamily="18" charset="0"/>
                    </a:rPr>
                    <m:t>=</m:t>
                  </m:r>
                  <m:r>
                    <a:rPr lang="it-IT" sz="1100" b="0" i="1">
                      <a:latin typeface="Cambria Math" panose="02040503050406030204" pitchFamily="18" charset="0"/>
                    </a:rPr>
                    <m:t>𝐵</m:t>
                  </m:r>
                  <m:f>
                    <m:fPr>
                      <m:ctrlPr>
                        <a:rPr lang="it-IT" sz="1100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it-IT" sz="1100" b="0" i="1">
                          <a:latin typeface="Cambria Math" panose="02040503050406030204" pitchFamily="18" charset="0"/>
                        </a:rPr>
                        <m:t>1</m:t>
                      </m:r>
                    </m:num>
                    <m:den>
                      <m:r>
                        <a:rPr lang="it-IT" sz="1100" b="0" i="1">
                          <a:latin typeface="Cambria Math" panose="02040503050406030204" pitchFamily="18" charset="0"/>
                        </a:rPr>
                        <m:t>2</m:t>
                      </m:r>
                    </m:den>
                  </m:f>
                  <m:r>
                    <a:rPr lang="it-IT" sz="1100" b="0" i="1">
                      <a:latin typeface="Cambria Math" panose="02040503050406030204" pitchFamily="18" charset="0"/>
                    </a:rPr>
                    <m:t>𝑔</m:t>
                  </m:r>
                  <m:r>
                    <a:rPr lang="it-IT" sz="1100" b="0" i="1">
                      <a:latin typeface="Cambria Math" panose="02040503050406030204" pitchFamily="18" charset="0"/>
                    </a:rPr>
                    <m:t> </m:t>
                  </m:r>
                  <m:r>
                    <a:rPr lang="it-IT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𝜚</m:t>
                  </m:r>
                  <m:r>
                    <a:rPr lang="it-IT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sSubSup>
                    <m:sSubSupPr>
                      <m:ctrlPr>
                        <a:rPr lang="it-IT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sSubSupPr>
                    <m:e>
                      <m:r>
                        <a:rPr lang="it-IT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h</m:t>
                      </m:r>
                    </m:e>
                    <m:sub/>
                    <m:sup>
                      <m:r>
                        <a:rPr lang="it-IT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sup>
                  </m:sSubSup>
                </m:oMath>
              </a14:m>
              <a:r>
                <a:rPr lang="en-GB" sz="1100"/>
                <a:t>+B</a:t>
              </a:r>
              <a14:m>
                <m:oMath xmlns:m="http://schemas.openxmlformats.org/officeDocument/2006/math">
                  <m:r>
                    <a:rPr lang="it-IT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𝜚</m:t>
                  </m:r>
                  <m:sSup>
                    <m:sSupPr>
                      <m:ctrlPr>
                        <a:rPr lang="it-IT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pPr>
                    <m:e>
                      <m:r>
                        <a:rPr lang="it-IT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𝑉</m:t>
                      </m:r>
                    </m:e>
                    <m:sup>
                      <m:r>
                        <a:rPr lang="it-IT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2</m:t>
                      </m:r>
                    </m:sup>
                  </m:sSup>
                </m:oMath>
              </a14:m>
              <a:r>
                <a:rPr lang="en-GB" sz="1100"/>
                <a:t>h=</a:t>
              </a:r>
              <a14:m>
                <m:oMath xmlns:m="http://schemas.openxmlformats.org/officeDocument/2006/math">
                  <m:r>
                    <a:rPr lang="it-IT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𝐵</m:t>
                  </m:r>
                  <m:f>
                    <m:fPr>
                      <m:ctrlPr>
                        <a:rPr lang="it-IT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it-IT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</m:t>
                      </m:r>
                    </m:num>
                    <m:den>
                      <m:r>
                        <a:rPr lang="it-IT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2</m:t>
                      </m:r>
                    </m:den>
                  </m:f>
                  <m:r>
                    <a:rPr lang="it-IT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𝑔</m:t>
                  </m:r>
                  <m:r>
                    <a:rPr lang="it-IT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  <m:r>
                    <a:rPr lang="it-IT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𝜚</m:t>
                  </m:r>
                  <m:r>
                    <a:rPr lang="it-IT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  <m:sSubSup>
                    <m:sSubSupPr>
                      <m:ctrlPr>
                        <a:rPr lang="it-IT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it-IT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h</m:t>
                      </m:r>
                    </m:e>
                    <m:sub/>
                    <m:sup>
                      <m:r>
                        <a:rPr lang="it-IT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2</m:t>
                      </m:r>
                    </m:sup>
                  </m:sSubSup>
                </m:oMath>
              </a14:m>
              <a:r>
                <a:rPr lang="en-GB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</a:t>
              </a:r>
              <a14:m>
                <m:oMath xmlns:m="http://schemas.openxmlformats.org/officeDocument/2006/math">
                  <m:f>
                    <m:fPr>
                      <m:ctrlPr>
                        <a:rPr lang="it-IT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sSup>
                        <m:sSupPr>
                          <m:ctrlPr>
                            <a:rPr lang="it-IT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pPr>
                        <m:e>
                          <m:r>
                            <a:rPr lang="it-IT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𝑄</m:t>
                          </m:r>
                        </m:e>
                        <m:sup>
                          <m:r>
                            <a:rPr lang="it-IT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</m:sup>
                      </m:sSup>
                    </m:num>
                    <m:den>
                      <m:r>
                        <a:rPr lang="it-IT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𝐵h</m:t>
                      </m:r>
                    </m:den>
                  </m:f>
                  <m:r>
                    <a:rPr lang="it-IT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𝜚</m:t>
                  </m:r>
                </m:oMath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CasellaDiTesto 1"/>
            <xdr:cNvSpPr txBox="1"/>
          </xdr:nvSpPr>
          <xdr:spPr>
            <a:xfrm>
              <a:off x="11445875" y="209550"/>
              <a:ext cx="326980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100" b="0" i="0">
                  <a:latin typeface="Cambria Math" panose="02040503050406030204" pitchFamily="18" charset="0"/>
                </a:rPr>
                <a:t>𝑁=𝐵 1/2 𝑔 </a:t>
              </a:r>
              <a:r>
                <a:rPr lang="it-IT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𝜚 ℎ_^2</a:t>
              </a:r>
              <a:r>
                <a:rPr lang="en-GB" sz="1100"/>
                <a:t>+B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𝜚𝑉^2</a:t>
              </a:r>
              <a:r>
                <a:rPr lang="en-GB" sz="1100"/>
                <a:t>h=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𝐵 1/2 𝑔 𝜚 ℎ_^2</a:t>
              </a:r>
              <a:r>
                <a:rPr lang="en-GB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𝑄^2/𝐵ℎ 𝜚</a:t>
              </a:r>
              <a:endParaRPr lang="en-GB" sz="1100"/>
            </a:p>
          </xdr:txBody>
        </xdr:sp>
      </mc:Fallback>
    </mc:AlternateContent>
    <xdr:clientData/>
  </xdr:oneCellAnchor>
  <xdr:twoCellAnchor>
    <xdr:from>
      <xdr:col>17</xdr:col>
      <xdr:colOff>533400</xdr:colOff>
      <xdr:row>49</xdr:row>
      <xdr:rowOff>110490</xdr:rowOff>
    </xdr:from>
    <xdr:to>
      <xdr:col>25</xdr:col>
      <xdr:colOff>236220</xdr:colOff>
      <xdr:row>69</xdr:row>
      <xdr:rowOff>53340</xdr:rowOff>
    </xdr:to>
    <xdr:graphicFrame macro="">
      <xdr:nvGraphicFramePr>
        <xdr:cNvPr id="2528" name="Grafico 1">
          <a:extLst>
            <a:ext uri="{FF2B5EF4-FFF2-40B4-BE49-F238E27FC236}">
              <a16:creationId xmlns:a16="http://schemas.microsoft.com/office/drawing/2014/main" id="{00000000-0008-0000-0600-0000E0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541020</xdr:colOff>
      <xdr:row>51</xdr:row>
      <xdr:rowOff>68580</xdr:rowOff>
    </xdr:from>
    <xdr:to>
      <xdr:col>19</xdr:col>
      <xdr:colOff>38100</xdr:colOff>
      <xdr:row>52</xdr:row>
      <xdr:rowOff>30480</xdr:rowOff>
    </xdr:to>
    <xdr:sp macro="" textlink="">
      <xdr:nvSpPr>
        <xdr:cNvPr id="2529" name="Ovale 9">
          <a:extLst>
            <a:ext uri="{FF2B5EF4-FFF2-40B4-BE49-F238E27FC236}">
              <a16:creationId xmlns:a16="http://schemas.microsoft.com/office/drawing/2014/main" id="{00000000-0008-0000-0600-0000E1090000}"/>
            </a:ext>
          </a:extLst>
        </xdr:cNvPr>
        <xdr:cNvSpPr>
          <a:spLocks noChangeArrowheads="1"/>
        </xdr:cNvSpPr>
      </xdr:nvSpPr>
      <xdr:spPr bwMode="auto">
        <a:xfrm>
          <a:off x="12694920" y="8618220"/>
          <a:ext cx="106680" cy="129540"/>
        </a:xfrm>
        <a:prstGeom prst="ellipse">
          <a:avLst/>
        </a:prstGeom>
        <a:solidFill>
          <a:srgbClr val="FF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148590</xdr:colOff>
      <xdr:row>33</xdr:row>
      <xdr:rowOff>152400</xdr:rowOff>
    </xdr:from>
    <xdr:to>
      <xdr:col>22</xdr:col>
      <xdr:colOff>291465</xdr:colOff>
      <xdr:row>34</xdr:row>
      <xdr:rowOff>123825</xdr:rowOff>
    </xdr:to>
    <xdr:sp macro="" textlink="">
      <xdr:nvSpPr>
        <xdr:cNvPr id="2530" name="Ovale 14">
          <a:extLst>
            <a:ext uri="{FF2B5EF4-FFF2-40B4-BE49-F238E27FC236}">
              <a16:creationId xmlns:a16="http://schemas.microsoft.com/office/drawing/2014/main" id="{00000000-0008-0000-0600-0000E2090000}"/>
            </a:ext>
          </a:extLst>
        </xdr:cNvPr>
        <xdr:cNvSpPr>
          <a:spLocks noChangeArrowheads="1"/>
        </xdr:cNvSpPr>
      </xdr:nvSpPr>
      <xdr:spPr bwMode="auto">
        <a:xfrm>
          <a:off x="14885670" y="5684520"/>
          <a:ext cx="142875" cy="139065"/>
        </a:xfrm>
        <a:prstGeom prst="ellipse">
          <a:avLst/>
        </a:prstGeom>
        <a:solidFill>
          <a:srgbClr val="00B0F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419100</xdr:colOff>
      <xdr:row>76</xdr:row>
      <xdr:rowOff>9525</xdr:rowOff>
    </xdr:from>
    <xdr:to>
      <xdr:col>21</xdr:col>
      <xdr:colOff>561975</xdr:colOff>
      <xdr:row>76</xdr:row>
      <xdr:rowOff>142875</xdr:rowOff>
    </xdr:to>
    <xdr:sp macro="" textlink="">
      <xdr:nvSpPr>
        <xdr:cNvPr id="2531" name="Ovale 15">
          <a:extLst>
            <a:ext uri="{FF2B5EF4-FFF2-40B4-BE49-F238E27FC236}">
              <a16:creationId xmlns:a16="http://schemas.microsoft.com/office/drawing/2014/main" id="{00000000-0008-0000-0600-0000E3090000}"/>
            </a:ext>
          </a:extLst>
        </xdr:cNvPr>
        <xdr:cNvSpPr>
          <a:spLocks noChangeArrowheads="1"/>
        </xdr:cNvSpPr>
      </xdr:nvSpPr>
      <xdr:spPr bwMode="auto">
        <a:xfrm>
          <a:off x="14173200" y="12315825"/>
          <a:ext cx="142875" cy="133350"/>
        </a:xfrm>
        <a:prstGeom prst="ellipse">
          <a:avLst/>
        </a:prstGeom>
        <a:solidFill>
          <a:srgbClr val="FF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542925</xdr:colOff>
      <xdr:row>75</xdr:row>
      <xdr:rowOff>142875</xdr:rowOff>
    </xdr:from>
    <xdr:to>
      <xdr:col>24</xdr:col>
      <xdr:colOff>76200</xdr:colOff>
      <xdr:row>76</xdr:row>
      <xdr:rowOff>114300</xdr:rowOff>
    </xdr:to>
    <xdr:sp macro="" textlink="">
      <xdr:nvSpPr>
        <xdr:cNvPr id="2532" name="Ovale 16">
          <a:extLst>
            <a:ext uri="{FF2B5EF4-FFF2-40B4-BE49-F238E27FC236}">
              <a16:creationId xmlns:a16="http://schemas.microsoft.com/office/drawing/2014/main" id="{00000000-0008-0000-0600-0000E4090000}"/>
            </a:ext>
          </a:extLst>
        </xdr:cNvPr>
        <xdr:cNvSpPr>
          <a:spLocks noChangeArrowheads="1"/>
        </xdr:cNvSpPr>
      </xdr:nvSpPr>
      <xdr:spPr bwMode="auto">
        <a:xfrm>
          <a:off x="15640050" y="12287250"/>
          <a:ext cx="142875" cy="133350"/>
        </a:xfrm>
        <a:prstGeom prst="ellipse">
          <a:avLst/>
        </a:prstGeom>
        <a:solidFill>
          <a:srgbClr val="00B0F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37148</xdr:colOff>
      <xdr:row>51</xdr:row>
      <xdr:rowOff>121920</xdr:rowOff>
    </xdr:from>
    <xdr:to>
      <xdr:col>22</xdr:col>
      <xdr:colOff>108554</xdr:colOff>
      <xdr:row>62</xdr:row>
      <xdr:rowOff>20366</xdr:rowOff>
    </xdr:to>
    <xdr:cxnSp macro="">
      <xdr:nvCxnSpPr>
        <xdr:cNvPr id="2533" name="Connettore 2 11">
          <a:extLst>
            <a:ext uri="{FF2B5EF4-FFF2-40B4-BE49-F238E27FC236}">
              <a16:creationId xmlns:a16="http://schemas.microsoft.com/office/drawing/2014/main" id="{00000000-0008-0000-0600-0000E5090000}"/>
            </a:ext>
          </a:extLst>
        </xdr:cNvPr>
        <xdr:cNvCxnSpPr>
          <a:cxnSpLocks noChangeShapeType="1"/>
        </xdr:cNvCxnSpPr>
      </xdr:nvCxnSpPr>
      <xdr:spPr bwMode="auto">
        <a:xfrm>
          <a:off x="12800648" y="8671560"/>
          <a:ext cx="2044986" cy="1742486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22</xdr:col>
      <xdr:colOff>125730</xdr:colOff>
      <xdr:row>62</xdr:row>
      <xdr:rowOff>7620</xdr:rowOff>
    </xdr:from>
    <xdr:to>
      <xdr:col>22</xdr:col>
      <xdr:colOff>268605</xdr:colOff>
      <xdr:row>62</xdr:row>
      <xdr:rowOff>146685</xdr:rowOff>
    </xdr:to>
    <xdr:sp macro="" textlink="">
      <xdr:nvSpPr>
        <xdr:cNvPr id="13" name="Ovale 14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>
          <a:spLocks noChangeArrowheads="1"/>
        </xdr:cNvSpPr>
      </xdr:nvSpPr>
      <xdr:spPr bwMode="auto">
        <a:xfrm>
          <a:off x="14862810" y="10401300"/>
          <a:ext cx="142875" cy="139065"/>
        </a:xfrm>
        <a:prstGeom prst="ellipse">
          <a:avLst/>
        </a:prstGeom>
        <a:solidFill>
          <a:srgbClr val="00B0F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228600</xdr:colOff>
      <xdr:row>34</xdr:row>
      <xdr:rowOff>85725</xdr:rowOff>
    </xdr:from>
    <xdr:to>
      <xdr:col>22</xdr:col>
      <xdr:colOff>280988</xdr:colOff>
      <xdr:row>62</xdr:row>
      <xdr:rowOff>129540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 bwMode="auto">
        <a:xfrm flipH="1">
          <a:off x="14965680" y="5785485"/>
          <a:ext cx="52388" cy="473773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0.19378</cdr:x>
      <cdr:y>0.35292</cdr:y>
    </cdr:from>
    <cdr:to>
      <cdr:x>0.23099</cdr:x>
      <cdr:y>0.38692</cdr:y>
    </cdr:to>
    <cdr:sp macro="" textlink="">
      <cdr:nvSpPr>
        <cdr:cNvPr id="2" name="Ovale 9">
          <a:extLst xmlns:a="http://schemas.openxmlformats.org/drawingml/2006/main">
            <a:ext uri="{FF2B5EF4-FFF2-40B4-BE49-F238E27FC236}">
              <a16:creationId xmlns:a16="http://schemas.microsoft.com/office/drawing/2014/main" id="{00000000-0008-0000-0500-0000E1090000}"/>
            </a:ext>
          </a:extLst>
        </cdr:cNvPr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4220" y="1384300"/>
          <a:ext cx="142875" cy="133350"/>
        </a:xfrm>
        <a:prstGeom xmlns:a="http://schemas.openxmlformats.org/drawingml/2006/main" prst="ellipse">
          <a:avLst/>
        </a:prstGeom>
        <a:solidFill xmlns:a="http://schemas.openxmlformats.org/drawingml/2006/main">
          <a:srgbClr val="FF0000"/>
        </a:solidFill>
        <a:ln xmlns:a="http://schemas.openxmlformats.org/drawingml/2006/main" w="9525" algn="ctr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628650</xdr:colOff>
      <xdr:row>12</xdr:row>
      <xdr:rowOff>9525</xdr:rowOff>
    </xdr:from>
    <xdr:to>
      <xdr:col>21</xdr:col>
      <xdr:colOff>504825</xdr:colOff>
      <xdr:row>36</xdr:row>
      <xdr:rowOff>47625</xdr:rowOff>
    </xdr:to>
    <xdr:graphicFrame macro="">
      <xdr:nvGraphicFramePr>
        <xdr:cNvPr id="15881" name="Grafico 1">
          <a:extLst>
            <a:ext uri="{FF2B5EF4-FFF2-40B4-BE49-F238E27FC236}">
              <a16:creationId xmlns:a16="http://schemas.microsoft.com/office/drawing/2014/main" id="{00000000-0008-0000-0700-0000093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19</xdr:col>
      <xdr:colOff>453390</xdr:colOff>
      <xdr:row>32</xdr:row>
      <xdr:rowOff>120650</xdr:rowOff>
    </xdr:from>
    <xdr:ext cx="647700" cy="271344"/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13153390" y="5207000"/>
          <a:ext cx="647700" cy="2713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100" b="1"/>
            <a:t>k   hu</a:t>
          </a:r>
        </a:p>
      </xdr:txBody>
    </xdr:sp>
    <xdr:clientData/>
  </xdr:oneCellAnchor>
  <xdr:twoCellAnchor>
    <xdr:from>
      <xdr:col>7</xdr:col>
      <xdr:colOff>342900</xdr:colOff>
      <xdr:row>94</xdr:row>
      <xdr:rowOff>85725</xdr:rowOff>
    </xdr:from>
    <xdr:to>
      <xdr:col>15</xdr:col>
      <xdr:colOff>571500</xdr:colOff>
      <xdr:row>118</xdr:row>
      <xdr:rowOff>19050</xdr:rowOff>
    </xdr:to>
    <xdr:graphicFrame macro="">
      <xdr:nvGraphicFramePr>
        <xdr:cNvPr id="15883" name="Grafico 1">
          <a:extLst>
            <a:ext uri="{FF2B5EF4-FFF2-40B4-BE49-F238E27FC236}">
              <a16:creationId xmlns:a16="http://schemas.microsoft.com/office/drawing/2014/main" id="{00000000-0008-0000-0700-00000B3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8</xdr:col>
      <xdr:colOff>505460</xdr:colOff>
      <xdr:row>102</xdr:row>
      <xdr:rowOff>115570</xdr:rowOff>
    </xdr:from>
    <xdr:ext cx="667629" cy="264560"/>
    <xdr:sp macro="" textlink="">
      <xdr:nvSpPr>
        <xdr:cNvPr id="8" name="CasellaDiTesto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/>
      </xdr:nvSpPr>
      <xdr:spPr>
        <a:xfrm>
          <a:off x="5801360" y="16631920"/>
          <a:ext cx="66762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100" b="1"/>
            <a:t>Qc  Qu</a:t>
          </a:r>
        </a:p>
      </xdr:txBody>
    </xdr:sp>
    <xdr:clientData/>
  </xdr:oneCellAnchor>
  <xdr:oneCellAnchor>
    <xdr:from>
      <xdr:col>13</xdr:col>
      <xdr:colOff>224790</xdr:colOff>
      <xdr:row>116</xdr:row>
      <xdr:rowOff>44450</xdr:rowOff>
    </xdr:from>
    <xdr:ext cx="647700" cy="271344"/>
    <xdr:sp macro="" textlink="">
      <xdr:nvSpPr>
        <xdr:cNvPr id="9" name="CasellaDiTesto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/>
      </xdr:nvSpPr>
      <xdr:spPr>
        <a:xfrm>
          <a:off x="9140190" y="18465800"/>
          <a:ext cx="647700" cy="2713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100" b="1"/>
            <a:t>k   hu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769620</xdr:colOff>
          <xdr:row>0</xdr:row>
          <xdr:rowOff>0</xdr:rowOff>
        </xdr:from>
        <xdr:to>
          <xdr:col>6</xdr:col>
          <xdr:colOff>266700</xdr:colOff>
          <xdr:row>5</xdr:row>
          <xdr:rowOff>0</xdr:rowOff>
        </xdr:to>
        <xdr:sp macro="" textlink="">
          <xdr:nvSpPr>
            <xdr:cNvPr id="15363" name="Object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7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594360</xdr:colOff>
          <xdr:row>1</xdr:row>
          <xdr:rowOff>106680</xdr:rowOff>
        </xdr:from>
        <xdr:to>
          <xdr:col>10</xdr:col>
          <xdr:colOff>403860</xdr:colOff>
          <xdr:row>5</xdr:row>
          <xdr:rowOff>121920</xdr:rowOff>
        </xdr:to>
        <xdr:sp macro="" textlink="">
          <xdr:nvSpPr>
            <xdr:cNvPr id="15364" name="Object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7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68580</xdr:colOff>
          <xdr:row>83</xdr:row>
          <xdr:rowOff>121920</xdr:rowOff>
        </xdr:from>
        <xdr:to>
          <xdr:col>7</xdr:col>
          <xdr:colOff>373380</xdr:colOff>
          <xdr:row>86</xdr:row>
          <xdr:rowOff>30480</xdr:rowOff>
        </xdr:to>
        <xdr:sp macro="" textlink="">
          <xdr:nvSpPr>
            <xdr:cNvPr id="15534" name="Object 174" hidden="1">
              <a:extLst>
                <a:ext uri="{63B3BB69-23CF-44E3-9099-C40C66FF867C}">
                  <a14:compatExt spid="_x0000_s15534"/>
                </a:ext>
                <a:ext uri="{FF2B5EF4-FFF2-40B4-BE49-F238E27FC236}">
                  <a16:creationId xmlns:a16="http://schemas.microsoft.com/office/drawing/2014/main" id="{00000000-0008-0000-0700-0000A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502920</xdr:colOff>
          <xdr:row>84</xdr:row>
          <xdr:rowOff>7620</xdr:rowOff>
        </xdr:from>
        <xdr:to>
          <xdr:col>13</xdr:col>
          <xdr:colOff>411480</xdr:colOff>
          <xdr:row>87</xdr:row>
          <xdr:rowOff>76200</xdr:rowOff>
        </xdr:to>
        <xdr:sp macro="" textlink="">
          <xdr:nvSpPr>
            <xdr:cNvPr id="15542" name="Object 182" hidden="1">
              <a:extLst>
                <a:ext uri="{63B3BB69-23CF-44E3-9099-C40C66FF867C}">
                  <a14:compatExt spid="_x0000_s15542"/>
                </a:ext>
                <a:ext uri="{FF2B5EF4-FFF2-40B4-BE49-F238E27FC236}">
                  <a16:creationId xmlns:a16="http://schemas.microsoft.com/office/drawing/2014/main" id="{00000000-0008-0000-0700-0000B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563880</xdr:colOff>
          <xdr:row>2</xdr:row>
          <xdr:rowOff>7620</xdr:rowOff>
        </xdr:from>
        <xdr:to>
          <xdr:col>7</xdr:col>
          <xdr:colOff>472440</xdr:colOff>
          <xdr:row>5</xdr:row>
          <xdr:rowOff>137160</xdr:rowOff>
        </xdr:to>
        <xdr:sp macro="" textlink="">
          <xdr:nvSpPr>
            <xdr:cNvPr id="15544" name="Object 184" hidden="1">
              <a:extLst>
                <a:ext uri="{63B3BB69-23CF-44E3-9099-C40C66FF867C}">
                  <a14:compatExt spid="_x0000_s15544"/>
                </a:ext>
                <a:ext uri="{FF2B5EF4-FFF2-40B4-BE49-F238E27FC236}">
                  <a16:creationId xmlns:a16="http://schemas.microsoft.com/office/drawing/2014/main" id="{00000000-0008-0000-0700-0000B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0.00988</cdr:x>
      <cdr:y>0.01282</cdr:y>
    </cdr:from>
    <cdr:to>
      <cdr:x>0.13384</cdr:x>
      <cdr:y>0.08222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50943" y="48030"/>
          <a:ext cx="630314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100" b="1"/>
            <a:t>Qc  Qu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152400</xdr:colOff>
      <xdr:row>2</xdr:row>
      <xdr:rowOff>76200</xdr:rowOff>
    </xdr:from>
    <xdr:to>
      <xdr:col>14</xdr:col>
      <xdr:colOff>561975</xdr:colOff>
      <xdr:row>9</xdr:row>
      <xdr:rowOff>28575</xdr:rowOff>
    </xdr:to>
    <xdr:cxnSp macro="">
      <xdr:nvCxnSpPr>
        <xdr:cNvPr id="65571" name="Connettore 2 2">
          <a:extLst>
            <a:ext uri="{FF2B5EF4-FFF2-40B4-BE49-F238E27FC236}">
              <a16:creationId xmlns:a16="http://schemas.microsoft.com/office/drawing/2014/main" id="{00000000-0008-0000-0800-000023000100}"/>
            </a:ext>
          </a:extLst>
        </xdr:cNvPr>
        <xdr:cNvCxnSpPr>
          <a:cxnSpLocks noChangeShapeType="1"/>
        </xdr:cNvCxnSpPr>
      </xdr:nvCxnSpPr>
      <xdr:spPr bwMode="auto">
        <a:xfrm flipH="1">
          <a:off x="9334500" y="400050"/>
          <a:ext cx="409575" cy="10858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15</xdr:col>
      <xdr:colOff>104775</xdr:colOff>
      <xdr:row>4</xdr:row>
      <xdr:rowOff>47625</xdr:rowOff>
    </xdr:from>
    <xdr:to>
      <xdr:col>15</xdr:col>
      <xdr:colOff>514350</xdr:colOff>
      <xdr:row>11</xdr:row>
      <xdr:rowOff>0</xdr:rowOff>
    </xdr:to>
    <xdr:cxnSp macro="">
      <xdr:nvCxnSpPr>
        <xdr:cNvPr id="65572" name="Connettore 2 2">
          <a:extLst>
            <a:ext uri="{FF2B5EF4-FFF2-40B4-BE49-F238E27FC236}">
              <a16:creationId xmlns:a16="http://schemas.microsoft.com/office/drawing/2014/main" id="{00000000-0008-0000-0800-000024000100}"/>
            </a:ext>
          </a:extLst>
        </xdr:cNvPr>
        <xdr:cNvCxnSpPr>
          <a:cxnSpLocks noChangeShapeType="1"/>
        </xdr:cNvCxnSpPr>
      </xdr:nvCxnSpPr>
      <xdr:spPr bwMode="auto">
        <a:xfrm flipH="1">
          <a:off x="9896475" y="695325"/>
          <a:ext cx="409575" cy="10858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oneCellAnchor>
    <xdr:from>
      <xdr:col>2</xdr:col>
      <xdr:colOff>266700</xdr:colOff>
      <xdr:row>6</xdr:row>
      <xdr:rowOff>66675</xdr:rowOff>
    </xdr:from>
    <xdr:ext cx="954813" cy="468013"/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1857375" y="1038225"/>
          <a:ext cx="954813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800"/>
            <a:t>Ds negativo</a:t>
          </a:r>
        </a:p>
        <a:p>
          <a:r>
            <a:rPr lang="en-GB" sz="800"/>
            <a:t>(controcorrente,</a:t>
          </a:r>
        </a:p>
        <a:p>
          <a:r>
            <a:rPr lang="en-GB" sz="800"/>
            <a:t>governato da valle</a:t>
          </a:r>
        </a:p>
      </xdr:txBody>
    </xdr:sp>
    <xdr:clientData/>
  </xdr:oneCellAnchor>
  <xdr:twoCellAnchor>
    <xdr:from>
      <xdr:col>17</xdr:col>
      <xdr:colOff>276225</xdr:colOff>
      <xdr:row>6</xdr:row>
      <xdr:rowOff>0</xdr:rowOff>
    </xdr:from>
    <xdr:to>
      <xdr:col>21</xdr:col>
      <xdr:colOff>372110</xdr:colOff>
      <xdr:row>7</xdr:row>
      <xdr:rowOff>125730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asellaDiTesto 4">
              <a:extLst>
                <a:ext uri="{FF2B5EF4-FFF2-40B4-BE49-F238E27FC236}">
                  <a16:creationId xmlns:a16="http://schemas.microsoft.com/office/drawing/2014/main" id="{00000000-0008-0000-0800-000006000000}"/>
                </a:ext>
              </a:extLst>
            </xdr:cNvPr>
            <xdr:cNvSpPr txBox="1"/>
          </xdr:nvSpPr>
          <xdr:spPr>
            <a:xfrm>
              <a:off x="11287125" y="971550"/>
              <a:ext cx="2534285" cy="287655"/>
            </a:xfrm>
            <a:prstGeom prst="rect">
              <a:avLst/>
            </a:prstGeom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xdr:spPr>
          <xdr:txBody>
            <a:bodyPr wrap="square" lIns="0" tIns="0" rIns="0" bIns="0" rtlCol="0" anchor="t">
              <a:noAutofit/>
            </a:bodyPr>
            <a:lstStyle/>
            <a:p>
              <a:pPr>
                <a:spcBef>
                  <a:spcPts val="500"/>
                </a:spcBef>
                <a:spcAft>
                  <a:spcPts val="0"/>
                </a:spcAft>
              </a:pPr>
              <a14:m>
                <m:oMath xmlns:m="http://schemas.openxmlformats.org/officeDocument/2006/math">
                  <m:r>
                    <a:rPr lang="it-IT" sz="1100" i="1">
                      <a:solidFill>
                        <a:srgbClr val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𝑁</m:t>
                  </m:r>
                  <m:r>
                    <a:rPr lang="en-GB" sz="1100" i="1">
                      <a:solidFill>
                        <a:srgbClr val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r>
                    <a:rPr lang="it-IT" sz="1100" i="1">
                      <a:solidFill>
                        <a:srgbClr val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𝐵</m:t>
                  </m:r>
                  <m:f>
                    <m:fPr>
                      <m:ctrlPr>
                        <a:rPr lang="en-GB" sz="1100" i="1">
                          <a:solidFill>
                            <a:srgbClr val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en-GB" sz="1100" i="1">
                          <a:solidFill>
                            <a:srgbClr val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</m:t>
                      </m:r>
                    </m:num>
                    <m:den>
                      <m:r>
                        <a:rPr lang="en-GB" sz="1100" i="1">
                          <a:solidFill>
                            <a:srgbClr val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2</m:t>
                      </m:r>
                    </m:den>
                  </m:f>
                  <m:r>
                    <a:rPr lang="it-IT" sz="1100" i="1">
                      <a:solidFill>
                        <a:srgbClr val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𝑔</m:t>
                  </m:r>
                  <m:r>
                    <a:rPr lang="it-IT" sz="1100" i="1">
                      <a:solidFill>
                        <a:srgbClr val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𝜚</m:t>
                  </m:r>
                  <m:sSubSup>
                    <m:sSubSupPr>
                      <m:ctrlPr>
                        <a:rPr lang="en-GB" sz="1100" i="1">
                          <a:solidFill>
                            <a:srgbClr val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</m:ctrlPr>
                    </m:sSubSupPr>
                    <m:e>
                      <m:r>
                        <a:rPr lang="en-GB" sz="1100" i="1">
                          <a:solidFill>
                            <a:srgbClr val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h</m:t>
                      </m:r>
                    </m:e>
                    <m:sub/>
                    <m:sup>
                      <m:r>
                        <a:rPr lang="en-GB" sz="1100" i="1">
                          <a:solidFill>
                            <a:srgbClr val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2</m:t>
                      </m:r>
                    </m:sup>
                  </m:sSubSup>
                </m:oMath>
              </a14:m>
              <a:r>
                <a:rPr lang="en-GB" sz="1100">
                  <a:solidFill>
                    <a:srgbClr val="000000"/>
                  </a:solidFill>
                  <a:effectLst/>
                  <a:latin typeface="Calibri" panose="020F0502020204030204" pitchFamily="34" charset="0"/>
                  <a:ea typeface="+mn-ea"/>
                  <a:cs typeface="+mn-cs"/>
                </a:rPr>
                <a:t>+B</a:t>
              </a:r>
              <a14:m>
                <m:oMath xmlns:m="http://schemas.openxmlformats.org/officeDocument/2006/math">
                  <m:r>
                    <a:rPr lang="it-IT" sz="1100" i="1">
                      <a:solidFill>
                        <a:srgbClr val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𝜚</m:t>
                  </m:r>
                  <m:sSup>
                    <m:sSupPr>
                      <m:ctrlPr>
                        <a:rPr lang="en-GB" sz="1100" i="1">
                          <a:solidFill>
                            <a:srgbClr val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pPr>
                    <m:e>
                      <m:r>
                        <a:rPr lang="it-IT" sz="1100" i="1">
                          <a:solidFill>
                            <a:srgbClr val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𝑉</m:t>
                      </m:r>
                    </m:e>
                    <m:sup>
                      <m:r>
                        <a:rPr lang="en-GB" sz="1100" i="1">
                          <a:solidFill>
                            <a:srgbClr val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2</m:t>
                      </m:r>
                    </m:sup>
                  </m:sSup>
                </m:oMath>
              </a14:m>
              <a:r>
                <a:rPr lang="en-GB" sz="1100">
                  <a:solidFill>
                    <a:srgbClr val="000000"/>
                  </a:solidFill>
                  <a:effectLst/>
                  <a:latin typeface="Calibri" panose="020F0502020204030204" pitchFamily="34" charset="0"/>
                  <a:ea typeface="+mn-ea"/>
                  <a:cs typeface="+mn-cs"/>
                </a:rPr>
                <a:t>h=</a:t>
              </a:r>
              <a14:m>
                <m:oMath xmlns:m="http://schemas.openxmlformats.org/officeDocument/2006/math">
                  <m:r>
                    <a:rPr lang="it-IT" sz="1100" i="1">
                      <a:solidFill>
                        <a:srgbClr val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𝐵</m:t>
                  </m:r>
                  <m:f>
                    <m:fPr>
                      <m:ctrlPr>
                        <a:rPr lang="en-GB" sz="1100" i="1">
                          <a:solidFill>
                            <a:srgbClr val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en-GB" sz="1100" i="1">
                          <a:solidFill>
                            <a:srgbClr val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</m:t>
                      </m:r>
                    </m:num>
                    <m:den>
                      <m:r>
                        <a:rPr lang="en-GB" sz="1100" i="1">
                          <a:solidFill>
                            <a:srgbClr val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2</m:t>
                      </m:r>
                    </m:den>
                  </m:f>
                  <m:r>
                    <a:rPr lang="it-IT" sz="1100" i="1">
                      <a:solidFill>
                        <a:srgbClr val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𝑔</m:t>
                  </m:r>
                  <m:r>
                    <a:rPr lang="it-IT" sz="1100" i="1">
                      <a:solidFill>
                        <a:srgbClr val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𝜚</m:t>
                  </m:r>
                  <m:sSubSup>
                    <m:sSubSupPr>
                      <m:ctrlPr>
                        <a:rPr lang="en-GB" sz="1100" i="1">
                          <a:solidFill>
                            <a:srgbClr val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en-GB" sz="1100" i="1">
                          <a:solidFill>
                            <a:srgbClr val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h</m:t>
                      </m:r>
                    </m:e>
                    <m:sub/>
                    <m:sup>
                      <m:r>
                        <a:rPr lang="en-GB" sz="1100" i="1">
                          <a:solidFill>
                            <a:srgbClr val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2</m:t>
                      </m:r>
                    </m:sup>
                  </m:sSubSup>
                </m:oMath>
              </a14:m>
              <a:r>
                <a:rPr lang="en-GB" sz="1100">
                  <a:solidFill>
                    <a:srgbClr val="000000"/>
                  </a:solidFill>
                  <a:effectLst/>
                  <a:latin typeface="Calibri" panose="020F0502020204030204" pitchFamily="34" charset="0"/>
                  <a:ea typeface="+mn-ea"/>
                  <a:cs typeface="+mn-cs"/>
                </a:rPr>
                <a:t>+</a:t>
              </a:r>
              <a14:m>
                <m:oMath xmlns:m="http://schemas.openxmlformats.org/officeDocument/2006/math">
                  <m:f>
                    <m:fPr>
                      <m:ctrlPr>
                        <a:rPr lang="en-GB" sz="1100" i="1">
                          <a:solidFill>
                            <a:srgbClr val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sSup>
                        <m:sSupPr>
                          <m:ctrlPr>
                            <a:rPr lang="en-GB" sz="1100" i="1">
                              <a:solidFill>
                                <a:srgbClr val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pPr>
                        <m:e>
                          <m:r>
                            <a:rPr lang="it-IT" sz="1100" i="1">
                              <a:solidFill>
                                <a:srgbClr val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𝑄</m:t>
                          </m:r>
                        </m:e>
                        <m:sup>
                          <m:r>
                            <a:rPr lang="en-GB" sz="1100" i="1">
                              <a:solidFill>
                                <a:srgbClr val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</m:sup>
                      </m:sSup>
                    </m:num>
                    <m:den>
                      <m:r>
                        <a:rPr lang="it-IT" sz="1100" i="1">
                          <a:solidFill>
                            <a:srgbClr val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𝐵</m:t>
                      </m:r>
                      <m:r>
                        <a:rPr lang="en-GB" sz="1100" i="1">
                          <a:solidFill>
                            <a:srgbClr val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h</m:t>
                      </m:r>
                    </m:den>
                  </m:f>
                  <m:r>
                    <a:rPr lang="it-IT" sz="1100" i="1">
                      <a:solidFill>
                        <a:srgbClr val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𝜚</m:t>
                  </m:r>
                </m:oMath>
              </a14:m>
              <a:endParaRPr lang="en-GB" sz="120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</mc:Choice>
      <mc:Fallback xmlns="">
        <xdr:sp macro="" textlink="">
          <xdr:nvSpPr>
            <xdr:cNvPr id="6" name="CasellaDiTesto 4"/>
            <xdr:cNvSpPr txBox="1"/>
          </xdr:nvSpPr>
          <xdr:spPr>
            <a:xfrm>
              <a:off x="11287125" y="971550"/>
              <a:ext cx="2534285" cy="287655"/>
            </a:xfrm>
            <a:prstGeom prst="rect">
              <a:avLst/>
            </a:prstGeom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xdr:spPr>
          <xdr:txBody>
            <a:bodyPr wrap="square" lIns="0" tIns="0" rIns="0" bIns="0" rtlCol="0" anchor="t">
              <a:noAutofit/>
            </a:bodyPr>
            <a:lstStyle/>
            <a:p>
              <a:pPr>
                <a:spcBef>
                  <a:spcPts val="500"/>
                </a:spcBef>
                <a:spcAft>
                  <a:spcPts val="0"/>
                </a:spcAft>
              </a:pPr>
              <a:r>
                <a:rPr lang="it-IT" sz="1100" i="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𝑁</a:t>
              </a:r>
              <a:r>
                <a:rPr lang="en-GB" sz="1100" i="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it-IT" sz="1100" i="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𝐵</a:t>
              </a:r>
              <a:r>
                <a:rPr lang="en-GB" sz="1100" i="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1/2</a:t>
              </a:r>
              <a:r>
                <a:rPr lang="it-IT" sz="1100" i="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𝑔</a:t>
              </a:r>
              <a:r>
                <a:rPr lang="it-IT" sz="1100" i="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𝜚</a:t>
              </a:r>
              <a:r>
                <a:rPr lang="en-GB" sz="1100" i="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ℎ_^2</a:t>
              </a:r>
              <a:r>
                <a:rPr lang="en-GB" sz="1100">
                  <a:solidFill>
                    <a:srgbClr val="000000"/>
                  </a:solidFill>
                  <a:effectLst/>
                  <a:latin typeface="Calibri" panose="020F0502020204030204" pitchFamily="34" charset="0"/>
                  <a:ea typeface="+mn-ea"/>
                  <a:cs typeface="+mn-cs"/>
                </a:rPr>
                <a:t>+B</a:t>
              </a:r>
              <a:r>
                <a:rPr lang="it-IT" sz="1100" i="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𝜚𝑉</a:t>
              </a:r>
              <a:r>
                <a:rPr lang="en-GB" sz="1100" i="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^2</a:t>
              </a:r>
              <a:r>
                <a:rPr lang="en-GB" sz="1100">
                  <a:solidFill>
                    <a:srgbClr val="000000"/>
                  </a:solidFill>
                  <a:effectLst/>
                  <a:latin typeface="Calibri" panose="020F0502020204030204" pitchFamily="34" charset="0"/>
                  <a:ea typeface="+mn-ea"/>
                  <a:cs typeface="+mn-cs"/>
                </a:rPr>
                <a:t>h=</a:t>
              </a:r>
              <a:r>
                <a:rPr lang="it-IT" sz="1100" i="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𝐵</a:t>
              </a:r>
              <a:r>
                <a:rPr lang="en-GB" sz="1100" i="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1/2</a:t>
              </a:r>
              <a:r>
                <a:rPr lang="it-IT" sz="1100" i="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𝑔𝜚</a:t>
              </a:r>
              <a:r>
                <a:rPr lang="en-GB" sz="1100" i="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ℎ_^2</a:t>
              </a:r>
              <a:r>
                <a:rPr lang="en-GB" sz="1100">
                  <a:solidFill>
                    <a:srgbClr val="000000"/>
                  </a:solidFill>
                  <a:effectLst/>
                  <a:latin typeface="Calibri" panose="020F0502020204030204" pitchFamily="34" charset="0"/>
                  <a:ea typeface="+mn-ea"/>
                  <a:cs typeface="+mn-cs"/>
                </a:rPr>
                <a:t>+</a:t>
              </a:r>
              <a:r>
                <a:rPr lang="it-IT" sz="1100" i="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en-GB" sz="1100" i="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^2/</a:t>
              </a:r>
              <a:r>
                <a:rPr lang="it-IT" sz="1100" i="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𝐵</a:t>
              </a:r>
              <a:r>
                <a:rPr lang="en-GB" sz="1100" i="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ℎ</a:t>
              </a:r>
              <a:r>
                <a:rPr lang="it-IT" sz="1100" i="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𝜚</a:t>
              </a:r>
              <a:endParaRPr lang="en-GB" sz="120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</mc:Fallback>
    </mc:AlternateContent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373380</xdr:colOff>
          <xdr:row>1</xdr:row>
          <xdr:rowOff>0</xdr:rowOff>
        </xdr:from>
        <xdr:to>
          <xdr:col>13</xdr:col>
          <xdr:colOff>0</xdr:colOff>
          <xdr:row>5</xdr:row>
          <xdr:rowOff>22860</xdr:rowOff>
        </xdr:to>
        <xdr:sp macro="" textlink="">
          <xdr:nvSpPr>
            <xdr:cNvPr id="65537" name="Object 1" hidden="1">
              <a:extLst>
                <a:ext uri="{63B3BB69-23CF-44E3-9099-C40C66FF867C}">
                  <a14:compatExt spid="_x0000_s65537"/>
                </a:ext>
                <a:ext uri="{FF2B5EF4-FFF2-40B4-BE49-F238E27FC236}">
                  <a16:creationId xmlns:a16="http://schemas.microsoft.com/office/drawing/2014/main" id="{00000000-0008-0000-0800-000001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0.18286</cdr:x>
      <cdr:y>0.58123</cdr:y>
    </cdr:from>
    <cdr:to>
      <cdr:x>0.99329</cdr:x>
      <cdr:y>0.94613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9D29F34B-E7E3-44E1-91A6-63CC2B5F0A6C}"/>
            </a:ext>
          </a:extLst>
        </cdr:cNvPr>
        <cdr:cNvCxnSpPr/>
      </cdr:nvCxnSpPr>
      <cdr:spPr bwMode="auto">
        <a:xfrm xmlns:a="http://schemas.openxmlformats.org/drawingml/2006/main" flipH="1">
          <a:off x="415225" y="2548890"/>
          <a:ext cx="1840295" cy="16002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97155</xdr:colOff>
      <xdr:row>5</xdr:row>
      <xdr:rowOff>3810</xdr:rowOff>
    </xdr:from>
    <xdr:to>
      <xdr:col>18</xdr:col>
      <xdr:colOff>411480</xdr:colOff>
      <xdr:row>32</xdr:row>
      <xdr:rowOff>43815</xdr:rowOff>
    </xdr:to>
    <xdr:graphicFrame macro="">
      <xdr:nvGraphicFramePr>
        <xdr:cNvPr id="108741" name="Grafico 1">
          <a:extLst>
            <a:ext uri="{FF2B5EF4-FFF2-40B4-BE49-F238E27FC236}">
              <a16:creationId xmlns:a16="http://schemas.microsoft.com/office/drawing/2014/main" id="{00000000-0008-0000-0100-0000C5A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586740</xdr:colOff>
          <xdr:row>21</xdr:row>
          <xdr:rowOff>60960</xdr:rowOff>
        </xdr:from>
        <xdr:to>
          <xdr:col>22</xdr:col>
          <xdr:colOff>99060</xdr:colOff>
          <xdr:row>27</xdr:row>
          <xdr:rowOff>60960</xdr:rowOff>
        </xdr:to>
        <xdr:sp macro="" textlink="">
          <xdr:nvSpPr>
            <xdr:cNvPr id="108655" name="Object 111" hidden="1">
              <a:extLst>
                <a:ext uri="{63B3BB69-23CF-44E3-9099-C40C66FF867C}">
                  <a14:compatExt spid="_x0000_s108655"/>
                </a:ext>
                <a:ext uri="{FF2B5EF4-FFF2-40B4-BE49-F238E27FC236}">
                  <a16:creationId xmlns:a16="http://schemas.microsoft.com/office/drawing/2014/main" id="{00000000-0008-0000-0100-00006FA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594359</xdr:colOff>
      <xdr:row>1</xdr:row>
      <xdr:rowOff>160020</xdr:rowOff>
    </xdr:from>
    <xdr:to>
      <xdr:col>16</xdr:col>
      <xdr:colOff>590828</xdr:colOff>
      <xdr:row>5</xdr:row>
      <xdr:rowOff>15240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0359" y="327660"/>
          <a:ext cx="4355109" cy="556260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0.65245</cdr:x>
      <cdr:y>0.9169</cdr:y>
    </cdr:from>
    <cdr:to>
      <cdr:x>0.7085</cdr:x>
      <cdr:y>0.98095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3040380" y="4160520"/>
          <a:ext cx="259080" cy="312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t-IT" sz="1100"/>
            <a:t>h</a:t>
          </a:r>
        </a:p>
      </cdr:txBody>
    </cdr:sp>
  </cdr:relSizeAnchor>
  <cdr:relSizeAnchor xmlns:cdr="http://schemas.openxmlformats.org/drawingml/2006/chartDrawing">
    <cdr:from>
      <cdr:x>0.05597</cdr:x>
      <cdr:y>0.35087</cdr:y>
    </cdr:from>
    <cdr:to>
      <cdr:x>0.1103</cdr:x>
      <cdr:y>0.42078</cdr:y>
    </cdr:to>
    <cdr:sp macro="" textlink="">
      <cdr:nvSpPr>
        <cdr:cNvPr id="3" name="CasellaDiTesto 2"/>
        <cdr:cNvSpPr txBox="1"/>
      </cdr:nvSpPr>
      <cdr:spPr>
        <a:xfrm xmlns:a="http://schemas.openxmlformats.org/drawingml/2006/main">
          <a:off x="266700" y="1638300"/>
          <a:ext cx="259080" cy="312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t-IT" sz="1100"/>
            <a:t>Q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413385</xdr:colOff>
      <xdr:row>5</xdr:row>
      <xdr:rowOff>70485</xdr:rowOff>
    </xdr:from>
    <xdr:to>
      <xdr:col>17</xdr:col>
      <xdr:colOff>198120</xdr:colOff>
      <xdr:row>31</xdr:row>
      <xdr:rowOff>144780</xdr:rowOff>
    </xdr:to>
    <xdr:graphicFrame macro="">
      <xdr:nvGraphicFramePr>
        <xdr:cNvPr id="10657" name="Grafico 5">
          <a:extLst>
            <a:ext uri="{FF2B5EF4-FFF2-40B4-BE49-F238E27FC236}">
              <a16:creationId xmlns:a16="http://schemas.microsoft.com/office/drawing/2014/main" id="{00000000-0008-0000-0200-0000A12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152400</xdr:colOff>
      <xdr:row>120</xdr:row>
      <xdr:rowOff>9525</xdr:rowOff>
    </xdr:from>
    <xdr:to>
      <xdr:col>13</xdr:col>
      <xdr:colOff>523875</xdr:colOff>
      <xdr:row>137</xdr:row>
      <xdr:rowOff>0</xdr:rowOff>
    </xdr:to>
    <xdr:graphicFrame macro="">
      <xdr:nvGraphicFramePr>
        <xdr:cNvPr id="10658" name="Grafico 8">
          <a:extLst>
            <a:ext uri="{FF2B5EF4-FFF2-40B4-BE49-F238E27FC236}">
              <a16:creationId xmlns:a16="http://schemas.microsoft.com/office/drawing/2014/main" id="{00000000-0008-0000-0200-0000A22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57150</xdr:colOff>
      <xdr:row>98</xdr:row>
      <xdr:rowOff>9525</xdr:rowOff>
    </xdr:from>
    <xdr:ext cx="372090" cy="311496"/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533650" y="15878175"/>
          <a:ext cx="372090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t-IT" sz="1400" b="1"/>
            <a:t>Q</a:t>
          </a:r>
          <a:r>
            <a:rPr lang="it-IT" sz="1400" b="1" baseline="-25000"/>
            <a:t>u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784860</xdr:colOff>
          <xdr:row>0</xdr:row>
          <xdr:rowOff>53340</xdr:rowOff>
        </xdr:from>
        <xdr:to>
          <xdr:col>17</xdr:col>
          <xdr:colOff>220980</xdr:colOff>
          <xdr:row>10</xdr:row>
          <xdr:rowOff>76200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2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60960</xdr:colOff>
      <xdr:row>41</xdr:row>
      <xdr:rowOff>99060</xdr:rowOff>
    </xdr:from>
    <xdr:to>
      <xdr:col>15</xdr:col>
      <xdr:colOff>167640</xdr:colOff>
      <xdr:row>45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8940" y="6972300"/>
          <a:ext cx="132588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426720</xdr:colOff>
          <xdr:row>43</xdr:row>
          <xdr:rowOff>22860</xdr:rowOff>
        </xdr:from>
        <xdr:to>
          <xdr:col>11</xdr:col>
          <xdr:colOff>762000</xdr:colOff>
          <xdr:row>48</xdr:row>
          <xdr:rowOff>91440</xdr:rowOff>
        </xdr:to>
        <xdr:sp macro="" textlink="">
          <xdr:nvSpPr>
            <xdr:cNvPr id="10242" name="Object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2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320040</xdr:colOff>
      <xdr:row>56</xdr:row>
      <xdr:rowOff>38100</xdr:rowOff>
    </xdr:from>
    <xdr:to>
      <xdr:col>9</xdr:col>
      <xdr:colOff>548640</xdr:colOff>
      <xdr:row>64</xdr:row>
      <xdr:rowOff>114300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 bwMode="auto">
        <a:xfrm>
          <a:off x="8542020" y="9425940"/>
          <a:ext cx="228600" cy="141732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9</xdr:col>
      <xdr:colOff>525780</xdr:colOff>
      <xdr:row>64</xdr:row>
      <xdr:rowOff>129540</xdr:rowOff>
    </xdr:from>
    <xdr:to>
      <xdr:col>12</xdr:col>
      <xdr:colOff>114300</xdr:colOff>
      <xdr:row>64</xdr:row>
      <xdr:rowOff>152400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 bwMode="auto">
        <a:xfrm>
          <a:off x="8747760" y="10858500"/>
          <a:ext cx="1348740" cy="2286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12</xdr:col>
      <xdr:colOff>68580</xdr:colOff>
      <xdr:row>55</xdr:row>
      <xdr:rowOff>152400</xdr:rowOff>
    </xdr:from>
    <xdr:to>
      <xdr:col>12</xdr:col>
      <xdr:colOff>381000</xdr:colOff>
      <xdr:row>65</xdr:row>
      <xdr:rowOff>7620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 bwMode="auto">
        <a:xfrm flipH="1">
          <a:off x="10050780" y="9372600"/>
          <a:ext cx="312420" cy="153162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9</xdr:col>
      <xdr:colOff>304800</xdr:colOff>
      <xdr:row>56</xdr:row>
      <xdr:rowOff>15240</xdr:rowOff>
    </xdr:from>
    <xdr:to>
      <xdr:col>12</xdr:col>
      <xdr:colOff>381000</xdr:colOff>
      <xdr:row>56</xdr:row>
      <xdr:rowOff>15240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 bwMode="auto">
        <a:xfrm>
          <a:off x="7063740" y="9403080"/>
          <a:ext cx="268986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9</xdr:col>
      <xdr:colOff>426720</xdr:colOff>
      <xdr:row>59</xdr:row>
      <xdr:rowOff>83820</xdr:rowOff>
    </xdr:from>
    <xdr:to>
      <xdr:col>12</xdr:col>
      <xdr:colOff>274320</xdr:colOff>
      <xdr:row>59</xdr:row>
      <xdr:rowOff>83820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 bwMode="auto">
        <a:xfrm>
          <a:off x="8648700" y="9974580"/>
          <a:ext cx="160782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11</xdr:col>
      <xdr:colOff>312420</xdr:colOff>
      <xdr:row>59</xdr:row>
      <xdr:rowOff>60960</xdr:rowOff>
    </xdr:from>
    <xdr:to>
      <xdr:col>11</xdr:col>
      <xdr:colOff>335280</xdr:colOff>
      <xdr:row>64</xdr:row>
      <xdr:rowOff>152400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 bwMode="auto">
        <a:xfrm>
          <a:off x="9364980" y="9951720"/>
          <a:ext cx="22860" cy="92964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70C0"/>
          </a:solidFill>
          <a:prstDash val="solid"/>
          <a:round/>
          <a:headEnd type="triangle"/>
          <a:tailEnd type="triangle"/>
        </a:ln>
        <a:effectLst/>
      </xdr:spPr>
    </xdr:cxnSp>
    <xdr:clientData/>
  </xdr:twoCellAnchor>
  <xdr:twoCellAnchor>
    <xdr:from>
      <xdr:col>9</xdr:col>
      <xdr:colOff>586740</xdr:colOff>
      <xdr:row>59</xdr:row>
      <xdr:rowOff>91440</xdr:rowOff>
    </xdr:from>
    <xdr:to>
      <xdr:col>9</xdr:col>
      <xdr:colOff>586740</xdr:colOff>
      <xdr:row>64</xdr:row>
      <xdr:rowOff>114300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CxnSpPr/>
      </xdr:nvCxnSpPr>
      <xdr:spPr bwMode="auto">
        <a:xfrm>
          <a:off x="8808720" y="9982200"/>
          <a:ext cx="0" cy="86106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12</xdr:col>
      <xdr:colOff>556260</xdr:colOff>
      <xdr:row>55</xdr:row>
      <xdr:rowOff>129540</xdr:rowOff>
    </xdr:from>
    <xdr:to>
      <xdr:col>12</xdr:col>
      <xdr:colOff>571500</xdr:colOff>
      <xdr:row>64</xdr:row>
      <xdr:rowOff>121920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CxnSpPr/>
      </xdr:nvCxnSpPr>
      <xdr:spPr bwMode="auto">
        <a:xfrm flipH="1">
          <a:off x="10538460" y="9349740"/>
          <a:ext cx="15240" cy="150114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/>
          <a:tailEnd type="triangle"/>
        </a:ln>
        <a:effectLst/>
      </xdr:spPr>
    </xdr:cxnSp>
    <xdr:clientData/>
  </xdr:twoCellAnchor>
  <xdr:oneCellAnchor>
    <xdr:from>
      <xdr:col>11</xdr:col>
      <xdr:colOff>441960</xdr:colOff>
      <xdr:row>54</xdr:row>
      <xdr:rowOff>106680</xdr:rowOff>
    </xdr:from>
    <xdr:ext cx="256160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9494520" y="9159240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/>
            <a:t>4</a:t>
          </a:r>
        </a:p>
      </xdr:txBody>
    </xdr:sp>
    <xdr:clientData/>
  </xdr:oneCellAnchor>
  <xdr:oneCellAnchor>
    <xdr:from>
      <xdr:col>11</xdr:col>
      <xdr:colOff>297180</xdr:colOff>
      <xdr:row>65</xdr:row>
      <xdr:rowOff>45720</xdr:rowOff>
    </xdr:from>
    <xdr:ext cx="256160" cy="40172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/>
      </xdr:nvSpPr>
      <xdr:spPr>
        <a:xfrm>
          <a:off x="9349740" y="10942320"/>
          <a:ext cx="256160" cy="4017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GB" sz="1100"/>
            <a:t>2</a:t>
          </a:r>
        </a:p>
      </xdr:txBody>
    </xdr:sp>
    <xdr:clientData/>
  </xdr:oneCellAnchor>
  <xdr:oneCellAnchor>
    <xdr:from>
      <xdr:col>12</xdr:col>
      <xdr:colOff>449580</xdr:colOff>
      <xdr:row>59</xdr:row>
      <xdr:rowOff>91440</xdr:rowOff>
    </xdr:from>
    <xdr:ext cx="327654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/>
      </xdr:nvSpPr>
      <xdr:spPr>
        <a:xfrm>
          <a:off x="10431780" y="9982200"/>
          <a:ext cx="3276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/>
            <a:t>10</a:t>
          </a:r>
        </a:p>
      </xdr:txBody>
    </xdr:sp>
    <xdr:clientData/>
  </xdr:oneCellAnchor>
  <xdr:oneCellAnchor>
    <xdr:from>
      <xdr:col>11</xdr:col>
      <xdr:colOff>381000</xdr:colOff>
      <xdr:row>60</xdr:row>
      <xdr:rowOff>152400</xdr:rowOff>
    </xdr:from>
    <xdr:ext cx="258789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/>
      </xdr:nvSpPr>
      <xdr:spPr>
        <a:xfrm>
          <a:off x="9433560" y="10210800"/>
          <a:ext cx="25878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/>
            <a:t>h</a:t>
          </a:r>
        </a:p>
      </xdr:txBody>
    </xdr:sp>
    <xdr:clientData/>
  </xdr:oneCellAnchor>
  <xdr:oneCellAnchor>
    <xdr:from>
      <xdr:col>9</xdr:col>
      <xdr:colOff>807720</xdr:colOff>
      <xdr:row>58</xdr:row>
      <xdr:rowOff>121920</xdr:rowOff>
    </xdr:from>
    <xdr:ext cx="500137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/>
      </xdr:nvSpPr>
      <xdr:spPr>
        <a:xfrm>
          <a:off x="9029700" y="9845040"/>
          <a:ext cx="500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/>
            <a:t>bmax</a:t>
          </a:r>
        </a:p>
      </xdr:txBody>
    </xdr:sp>
    <xdr:clientData/>
  </xdr:oneCellAnchor>
  <xdr:twoCellAnchor>
    <xdr:from>
      <xdr:col>9</xdr:col>
      <xdr:colOff>434340</xdr:colOff>
      <xdr:row>59</xdr:row>
      <xdr:rowOff>99060</xdr:rowOff>
    </xdr:from>
    <xdr:to>
      <xdr:col>9</xdr:col>
      <xdr:colOff>541020</xdr:colOff>
      <xdr:row>64</xdr:row>
      <xdr:rowOff>114300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CxnSpPr/>
      </xdr:nvCxnSpPr>
      <xdr:spPr bwMode="auto">
        <a:xfrm>
          <a:off x="8656320" y="9989820"/>
          <a:ext cx="106680" cy="853440"/>
        </a:xfrm>
        <a:prstGeom prst="line">
          <a:avLst/>
        </a:prstGeom>
        <a:solidFill>
          <a:srgbClr val="FFFFFF"/>
        </a:solidFill>
        <a:ln w="317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oneCellAnchor>
    <xdr:from>
      <xdr:col>9</xdr:col>
      <xdr:colOff>198120</xdr:colOff>
      <xdr:row>61</xdr:row>
      <xdr:rowOff>60960</xdr:rowOff>
    </xdr:from>
    <xdr:ext cx="433196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/>
      </xdr:nvSpPr>
      <xdr:spPr>
        <a:xfrm>
          <a:off x="6957060" y="10287000"/>
          <a:ext cx="43319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/>
            <a:t>Lato</a:t>
          </a:r>
        </a:p>
      </xdr:txBody>
    </xdr:sp>
    <xdr:clientData/>
  </xdr:oneCellAnchor>
  <xdr:twoCellAnchor>
    <xdr:from>
      <xdr:col>10</xdr:col>
      <xdr:colOff>251460</xdr:colOff>
      <xdr:row>8</xdr:row>
      <xdr:rowOff>106680</xdr:rowOff>
    </xdr:from>
    <xdr:to>
      <xdr:col>11</xdr:col>
      <xdr:colOff>792480</xdr:colOff>
      <xdr:row>11</xdr:row>
      <xdr:rowOff>45720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0980" y="1447800"/>
          <a:ext cx="1394460" cy="441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365760</xdr:colOff>
      <xdr:row>58</xdr:row>
      <xdr:rowOff>106680</xdr:rowOff>
    </xdr:from>
    <xdr:ext cx="258789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808720" y="9829800"/>
          <a:ext cx="25878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/>
            <a:t>b</a:t>
          </a:r>
        </a:p>
      </xdr:txBody>
    </xdr:sp>
    <xdr:clientData/>
  </xdr:oneCellAnchor>
  <xdr:twoCellAnchor>
    <xdr:from>
      <xdr:col>10</xdr:col>
      <xdr:colOff>106680</xdr:colOff>
      <xdr:row>13</xdr:row>
      <xdr:rowOff>99060</xdr:rowOff>
    </xdr:from>
    <xdr:to>
      <xdr:col>15</xdr:col>
      <xdr:colOff>373380</xdr:colOff>
      <xdr:row>13</xdr:row>
      <xdr:rowOff>129540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 bwMode="auto">
        <a:xfrm flipV="1">
          <a:off x="7696200" y="2278380"/>
          <a:ext cx="4404360" cy="3048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8</xdr:col>
      <xdr:colOff>723900</xdr:colOff>
      <xdr:row>70</xdr:row>
      <xdr:rowOff>106680</xdr:rowOff>
    </xdr:from>
    <xdr:to>
      <xdr:col>16</xdr:col>
      <xdr:colOff>257175</xdr:colOff>
      <xdr:row>97</xdr:row>
      <xdr:rowOff>13335</xdr:rowOff>
    </xdr:to>
    <xdr:graphicFrame macro="">
      <xdr:nvGraphicFramePr>
        <xdr:cNvPr id="30" name="Grafico 5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0.58564</cdr:x>
      <cdr:y>0.896</cdr:y>
    </cdr:from>
    <cdr:to>
      <cdr:x>0.65001</cdr:x>
      <cdr:y>1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3055738" y="3330132"/>
          <a:ext cx="335887" cy="3865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t-IT" sz="1400" b="1">
              <a:solidFill>
                <a:srgbClr val="92D050"/>
              </a:solidFill>
            </a:rPr>
            <a:t>k</a:t>
          </a:r>
          <a:r>
            <a:rPr lang="it-IT" sz="1400" b="1"/>
            <a:t>  h</a:t>
          </a:r>
          <a:r>
            <a:rPr lang="it-IT" sz="1400" b="1" baseline="-25000"/>
            <a:t>u  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0.58564</cdr:x>
      <cdr:y>0.896</cdr:y>
    </cdr:from>
    <cdr:to>
      <cdr:x>0.65001</cdr:x>
      <cdr:y>1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3055738" y="3330132"/>
          <a:ext cx="335887" cy="3865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t-IT" sz="1400" b="1">
              <a:solidFill>
                <a:srgbClr val="92D050"/>
              </a:solidFill>
            </a:rPr>
            <a:t>k</a:t>
          </a:r>
          <a:r>
            <a:rPr lang="it-IT" sz="1400" b="1"/>
            <a:t>  h</a:t>
          </a:r>
          <a:r>
            <a:rPr lang="it-IT" sz="1400" b="1" baseline="-25000"/>
            <a:t>u  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525780</xdr:colOff>
      <xdr:row>14</xdr:row>
      <xdr:rowOff>30480</xdr:rowOff>
    </xdr:from>
    <xdr:to>
      <xdr:col>17</xdr:col>
      <xdr:colOff>137160</xdr:colOff>
      <xdr:row>30</xdr:row>
      <xdr:rowOff>144780</xdr:rowOff>
    </xdr:to>
    <xdr:graphicFrame macro="">
      <xdr:nvGraphicFramePr>
        <xdr:cNvPr id="2" name="Grafico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99060</xdr:colOff>
      <xdr:row>13</xdr:row>
      <xdr:rowOff>68580</xdr:rowOff>
    </xdr:from>
    <xdr:to>
      <xdr:col>21</xdr:col>
      <xdr:colOff>92766</xdr:colOff>
      <xdr:row>13</xdr:row>
      <xdr:rowOff>83804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 bwMode="auto">
        <a:xfrm flipH="1" flipV="1">
          <a:off x="11529060" y="1744980"/>
          <a:ext cx="1212906" cy="15224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oneCellAnchor>
    <xdr:from>
      <xdr:col>18</xdr:col>
      <xdr:colOff>68580</xdr:colOff>
      <xdr:row>5</xdr:row>
      <xdr:rowOff>121920</xdr:rowOff>
    </xdr:from>
    <xdr:ext cx="4113177" cy="60901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0888980" y="457200"/>
          <a:ext cx="4113177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</a:t>
          </a:r>
          <a:r>
            <a:rPr lang="en-GB" sz="1100" b="1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n+1</a:t>
          </a:r>
          <a:r>
            <a:rPr lang="en-GB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=H</a:t>
          </a:r>
          <a:r>
            <a:rPr lang="en-GB" sz="1100" b="1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</a:t>
          </a:r>
          <a:r>
            <a:rPr lang="en-GB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+ Ds (i</a:t>
          </a:r>
          <a:r>
            <a:rPr lang="en-GB" sz="1100" b="1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n+1</a:t>
          </a:r>
          <a:r>
            <a:rPr lang="en-GB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-J</a:t>
          </a:r>
          <a:r>
            <a:rPr lang="en-GB" sz="1100" b="1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</a:t>
          </a:r>
          <a:r>
            <a:rPr lang="en-GB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                                                                               </a:t>
          </a:r>
          <a:endParaRPr lang="en-GB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DH=H</a:t>
          </a:r>
          <a:r>
            <a:rPr lang="en-GB" sz="1100" b="1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n+1</a:t>
          </a:r>
          <a:r>
            <a:rPr lang="en-GB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-H</a:t>
          </a:r>
          <a:r>
            <a:rPr lang="en-GB" sz="1100" b="1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</a:t>
          </a:r>
          <a:r>
            <a:rPr lang="en-GB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= Ds (i</a:t>
          </a:r>
          <a:r>
            <a:rPr lang="en-GB" sz="1100" b="1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n+1</a:t>
          </a:r>
          <a:r>
            <a:rPr lang="en-GB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-J</a:t>
          </a:r>
          <a:r>
            <a:rPr lang="en-GB" sz="1100" b="1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</a:t>
          </a:r>
          <a:r>
            <a:rPr lang="en-GB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                                                                               </a:t>
          </a:r>
          <a:endParaRPr lang="en-GB">
            <a:effectLst/>
          </a:endParaRPr>
        </a:p>
        <a:p>
          <a:endParaRPr lang="en-GB" sz="1100"/>
        </a:p>
      </xdr:txBody>
    </xdr:sp>
    <xdr:clientData/>
  </xdr:oneCellAnchor>
  <xdr:twoCellAnchor>
    <xdr:from>
      <xdr:col>18</xdr:col>
      <xdr:colOff>581581</xdr:colOff>
      <xdr:row>15</xdr:row>
      <xdr:rowOff>45704</xdr:rowOff>
    </xdr:from>
    <xdr:to>
      <xdr:col>20</xdr:col>
      <xdr:colOff>312420</xdr:colOff>
      <xdr:row>15</xdr:row>
      <xdr:rowOff>45720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 bwMode="auto">
        <a:xfrm>
          <a:off x="11401981" y="2057384"/>
          <a:ext cx="950039" cy="16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oneCellAnchor>
    <xdr:from>
      <xdr:col>17</xdr:col>
      <xdr:colOff>480060</xdr:colOff>
      <xdr:row>15</xdr:row>
      <xdr:rowOff>114300</xdr:rowOff>
    </xdr:from>
    <xdr:ext cx="4359655" cy="2331279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0690860" y="2125980"/>
          <a:ext cx="4359655" cy="23312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t-IT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Primo passo  </a:t>
          </a:r>
          <a:endParaRPr lang="en-GB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  è noto (“condizione iniziale”,;</a:t>
          </a:r>
          <a:r>
            <a:rPr lang="it-IT" sz="1100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da esso :Sez, Ridr, V, V^2/2g , quindi </a:t>
          </a:r>
          <a:r>
            <a:rPr lang="it-IT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</a:t>
          </a:r>
        </a:p>
        <a:p>
          <a:r>
            <a:rPr lang="it-IT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 ancora j, DH/Dh (non utilizzato nei calcoli)</a:t>
          </a:r>
          <a:endParaRPr lang="en-GB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GB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# Passi successivi  (n=1,2,3, …..)</a:t>
          </a:r>
          <a:endParaRPr lang="en-GB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i="1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DH si calcola usando</a:t>
          </a:r>
          <a:r>
            <a:rPr lang="it-IT" sz="1100" i="1" baseline="0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 la J al passo precedente</a:t>
          </a:r>
          <a:r>
            <a:rPr lang="it-IT" sz="1100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; quindi</a:t>
          </a:r>
        </a:p>
        <a:p>
          <a:r>
            <a:rPr lang="it-IT" sz="1100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facilmente H; </a:t>
          </a:r>
          <a:r>
            <a:rPr lang="it-IT" sz="1100" i="1" baseline="0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h si ottiene da H, sottranendo il termine </a:t>
          </a:r>
          <a:r>
            <a:rPr lang="it-IT" sz="1100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cinetico precednte </a:t>
          </a:r>
        </a:p>
        <a:p>
          <a:r>
            <a:rPr lang="it-IT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Sez,</a:t>
          </a:r>
          <a:r>
            <a:rPr lang="it-IT" sz="1100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V, </a:t>
          </a:r>
          <a:r>
            <a:rPr lang="it-IT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 il termine cinetico, Ridr</a:t>
          </a:r>
          <a:r>
            <a:rPr lang="it-IT" sz="1100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 </a:t>
          </a:r>
          <a:r>
            <a:rPr lang="it-IT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la perdita di carico si</a:t>
          </a:r>
          <a:r>
            <a:rPr lang="it-IT" sz="1100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calolano</a:t>
          </a:r>
        </a:p>
        <a:p>
          <a:r>
            <a:rPr lang="it-IT" sz="1100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 i valori aggiornati</a:t>
          </a:r>
          <a:endParaRPr lang="en-GB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GB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In </a:t>
          </a:r>
          <a:r>
            <a:rPr lang="it-IT" sz="1100" i="1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viola</a:t>
          </a:r>
          <a:r>
            <a:rPr lang="it-IT" sz="1100" i="1" baseline="0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100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sono indicati i termini calcolati utilizzando i valori del</a:t>
          </a:r>
        </a:p>
        <a:p>
          <a:r>
            <a:rPr lang="it-IT" sz="1100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passo precedente </a:t>
          </a:r>
          <a:endParaRPr lang="en-GB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GB" sz="1100"/>
        </a:p>
      </xdr:txBody>
    </xdr:sp>
    <xdr:clientData/>
  </xdr:oneCellAnchor>
  <xdr:twoCellAnchor>
    <xdr:from>
      <xdr:col>9</xdr:col>
      <xdr:colOff>419100</xdr:colOff>
      <xdr:row>22</xdr:row>
      <xdr:rowOff>91440</xdr:rowOff>
    </xdr:from>
    <xdr:to>
      <xdr:col>12</xdr:col>
      <xdr:colOff>182880</xdr:colOff>
      <xdr:row>23</xdr:row>
      <xdr:rowOff>68580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 bwMode="auto">
        <a:xfrm>
          <a:off x="5707380" y="3779520"/>
          <a:ext cx="1592580" cy="144780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70C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6</xdr:col>
      <xdr:colOff>106680</xdr:colOff>
      <xdr:row>1</xdr:row>
      <xdr:rowOff>137160</xdr:rowOff>
    </xdr:from>
    <xdr:to>
      <xdr:col>11</xdr:col>
      <xdr:colOff>259080</xdr:colOff>
      <xdr:row>6</xdr:row>
      <xdr:rowOff>30480</xdr:rowOff>
    </xdr:to>
    <xdr:sp macro="" textlink="">
      <xdr:nvSpPr>
        <xdr:cNvPr id="7" name="Arrow: Curved Dow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 bwMode="auto">
        <a:xfrm flipH="1">
          <a:off x="4175760" y="304800"/>
          <a:ext cx="3200400" cy="731520"/>
        </a:xfrm>
        <a:prstGeom prst="curvedDownArrow">
          <a:avLst/>
        </a:prstGeom>
        <a:solidFill>
          <a:srgbClr val="FFFFFF"/>
        </a:solidFill>
        <a:ln w="9525" cap="flat" cmpd="sng" algn="ctr">
          <a:solidFill>
            <a:srgbClr val="FFFF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175260</xdr:colOff>
      <xdr:row>2</xdr:row>
      <xdr:rowOff>152400</xdr:rowOff>
    </xdr:from>
    <xdr:to>
      <xdr:col>12</xdr:col>
      <xdr:colOff>601980</xdr:colOff>
      <xdr:row>7</xdr:row>
      <xdr:rowOff>45720</xdr:rowOff>
    </xdr:to>
    <xdr:sp macro="" textlink="">
      <xdr:nvSpPr>
        <xdr:cNvPr id="9" name="Arrow: Curved Down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 bwMode="auto">
        <a:xfrm flipH="1">
          <a:off x="3025140" y="487680"/>
          <a:ext cx="5303520" cy="731520"/>
        </a:xfrm>
        <a:prstGeom prst="curvedDownArrow">
          <a:avLst/>
        </a:prstGeom>
        <a:solidFill>
          <a:srgbClr val="FFFFFF"/>
        </a:solidFill>
        <a:ln w="9525" cap="flat" cmpd="sng" algn="ctr">
          <a:solidFill>
            <a:srgbClr val="FFFF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GB" sz="1100"/>
        </a:p>
      </xdr:txBody>
    </xdr: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0.67362</cdr:x>
      <cdr:y>0.3776</cdr:y>
    </cdr:from>
    <cdr:to>
      <cdr:x>0.85048</cdr:x>
      <cdr:y>0.38296</cdr:y>
    </cdr:to>
    <cdr:cxnSp macro="">
      <cdr:nvCxnSpPr>
        <cdr:cNvPr id="4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id="{5AE0D6B7-1D0C-4C9E-AE15-E3535C2DDC43}"/>
            </a:ext>
          </a:extLst>
        </cdr:cNvPr>
        <cdr:cNvCxnSpPr/>
      </cdr:nvCxnSpPr>
      <cdr:spPr bwMode="auto">
        <a:xfrm xmlns:a="http://schemas.openxmlformats.org/drawingml/2006/main" flipH="1" flipV="1">
          <a:off x="4619686" y="1072518"/>
          <a:ext cx="1212906" cy="15224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0.93665</cdr:x>
      <cdr:y>0.39986</cdr:y>
    </cdr:from>
    <cdr:to>
      <cdr:x>0.94685</cdr:x>
      <cdr:y>0.42674</cdr:y>
    </cdr:to>
    <cdr:sp macro="" textlink="">
      <cdr:nvSpPr>
        <cdr:cNvPr id="9" name="Oval 8">
          <a:extLst xmlns:a="http://schemas.openxmlformats.org/drawingml/2006/main">
            <a:ext uri="{FF2B5EF4-FFF2-40B4-BE49-F238E27FC236}">
              <a16:creationId xmlns:a16="http://schemas.microsoft.com/office/drawing/2014/main" id="{0BC9C518-5067-4067-926C-80C39F34AD51}"/>
            </a:ext>
          </a:extLst>
        </cdr:cNvPr>
        <cdr:cNvSpPr/>
      </cdr:nvSpPr>
      <cdr:spPr bwMode="auto">
        <a:xfrm xmlns:a="http://schemas.openxmlformats.org/drawingml/2006/main" flipH="1" flipV="1">
          <a:off x="7101600" y="1118211"/>
          <a:ext cx="77336" cy="75171"/>
        </a:xfrm>
        <a:prstGeom xmlns:a="http://schemas.openxmlformats.org/drawingml/2006/main" prst="ellipse">
          <a:avLst/>
        </a:prstGeom>
        <a:solidFill xmlns:a="http://schemas.openxmlformats.org/drawingml/2006/main">
          <a:schemeClr val="tx1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0.47563</cdr:x>
      <cdr:y>0.4802</cdr:y>
    </cdr:from>
    <cdr:to>
      <cdr:x>0.50452</cdr:x>
      <cdr:y>0.58311</cdr:y>
    </cdr:to>
    <cdr:grpSp>
      <cdr:nvGrpSpPr>
        <cdr:cNvPr id="5" name="Gruppo 96">
          <a:extLst xmlns:a="http://schemas.openxmlformats.org/drawingml/2006/main">
            <a:ext uri="{FF2B5EF4-FFF2-40B4-BE49-F238E27FC236}">
              <a16:creationId xmlns:a16="http://schemas.microsoft.com/office/drawing/2014/main" id="{0F7E4C17-7376-41DB-8C6D-223D5B115797}"/>
            </a:ext>
          </a:extLst>
        </cdr:cNvPr>
        <cdr:cNvGrpSpPr/>
      </cdr:nvGrpSpPr>
      <cdr:grpSpPr>
        <a:xfrm xmlns:a="http://schemas.openxmlformats.org/drawingml/2006/main">
          <a:off x="3606179" y="1342899"/>
          <a:ext cx="219041" cy="287791"/>
          <a:chOff x="-2160270" y="-7396214"/>
          <a:chExt cx="1285885" cy="1785962"/>
        </a:xfrm>
      </cdr:grpSpPr>
      <cdr:cxnSp macro="">
        <cdr:nvCxnSpPr>
          <cdr:cNvPr id="6" name="Connettore 1 97">
            <a:extLst xmlns:a="http://schemas.openxmlformats.org/drawingml/2006/main">
              <a:ext uri="{FF2B5EF4-FFF2-40B4-BE49-F238E27FC236}">
                <a16:creationId xmlns:a16="http://schemas.microsoft.com/office/drawing/2014/main" id="{3348EF65-1934-46A1-98BA-1DC361FC2916}"/>
              </a:ext>
            </a:extLst>
          </cdr:cNvPr>
          <cdr:cNvCxnSpPr/>
        </cdr:nvCxnSpPr>
        <cdr:spPr>
          <a:xfrm xmlns:a="http://schemas.openxmlformats.org/drawingml/2006/main" rot="16200000" flipH="1">
            <a:off x="-1642348" y="-6378213"/>
            <a:ext cx="892981" cy="642942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19050" cap="flat" cmpd="sng" algn="ctr">
            <a:solidFill>
              <a:srgbClr val="4472C4"/>
            </a:solidFill>
            <a:prstDash val="solid"/>
            <a:miter lim="800000"/>
          </a:ln>
          <a:effectLst xmlns:a="http://schemas.openxmlformats.org/drawingml/2006/main"/>
        </cdr:spPr>
      </cdr:cxnSp>
      <cdr:cxnSp macro="">
        <cdr:nvCxnSpPr>
          <cdr:cNvPr id="7" name="Connettore 1 98">
            <a:extLst xmlns:a="http://schemas.openxmlformats.org/drawingml/2006/main">
              <a:ext uri="{FF2B5EF4-FFF2-40B4-BE49-F238E27FC236}">
                <a16:creationId xmlns:a16="http://schemas.microsoft.com/office/drawing/2014/main" id="{6001BFA2-C59A-4AE9-886F-4C2058B95593}"/>
              </a:ext>
            </a:extLst>
          </cdr:cNvPr>
          <cdr:cNvCxnSpPr/>
        </cdr:nvCxnSpPr>
        <cdr:spPr>
          <a:xfrm xmlns:a="http://schemas.openxmlformats.org/drawingml/2006/main" rot="5400000">
            <a:off x="-2271004" y="-6392499"/>
            <a:ext cx="892981" cy="671514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19050" cap="flat" cmpd="sng" algn="ctr">
            <a:solidFill>
              <a:srgbClr val="4472C4"/>
            </a:solidFill>
            <a:prstDash val="solid"/>
            <a:miter lim="800000"/>
          </a:ln>
          <a:effectLst xmlns:a="http://schemas.openxmlformats.org/drawingml/2006/main"/>
        </cdr:spPr>
      </cdr:cxnSp>
      <cdr:cxnSp macro="">
        <cdr:nvCxnSpPr>
          <cdr:cNvPr id="8" name="Connettore 1 99">
            <a:extLst xmlns:a="http://schemas.openxmlformats.org/drawingml/2006/main">
              <a:ext uri="{FF2B5EF4-FFF2-40B4-BE49-F238E27FC236}">
                <a16:creationId xmlns:a16="http://schemas.microsoft.com/office/drawing/2014/main" id="{45EE0974-994E-422D-A7B8-BE32CCC76A27}"/>
              </a:ext>
            </a:extLst>
          </cdr:cNvPr>
          <cdr:cNvCxnSpPr/>
        </cdr:nvCxnSpPr>
        <cdr:spPr>
          <a:xfrm xmlns:a="http://schemas.openxmlformats.org/drawingml/2006/main" rot="5400000">
            <a:off x="-1872138" y="-6862807"/>
            <a:ext cx="714385" cy="4764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19050" cap="flat" cmpd="sng" algn="ctr">
            <a:solidFill>
              <a:srgbClr val="4472C4"/>
            </a:solidFill>
            <a:prstDash val="solid"/>
            <a:miter lim="800000"/>
          </a:ln>
          <a:effectLst xmlns:a="http://schemas.openxmlformats.org/drawingml/2006/main"/>
        </cdr:spPr>
      </cdr:cxnSp>
      <cdr:cxnSp macro="">
        <cdr:nvCxnSpPr>
          <cdr:cNvPr id="10" name="Connettore 1 100">
            <a:extLst xmlns:a="http://schemas.openxmlformats.org/drawingml/2006/main">
              <a:ext uri="{FF2B5EF4-FFF2-40B4-BE49-F238E27FC236}">
                <a16:creationId xmlns:a16="http://schemas.microsoft.com/office/drawing/2014/main" id="{7277B72B-D0F1-4423-9DD5-3B2A02AD7E69}"/>
              </a:ext>
            </a:extLst>
          </cdr:cNvPr>
          <cdr:cNvCxnSpPr/>
        </cdr:nvCxnSpPr>
        <cdr:spPr>
          <a:xfrm xmlns:a="http://schemas.openxmlformats.org/drawingml/2006/main" rot="16200000" flipH="1">
            <a:off x="-1463751" y="-7092598"/>
            <a:ext cx="535789" cy="642942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19050" cap="flat" cmpd="sng" algn="ctr">
            <a:solidFill>
              <a:srgbClr val="4472C4"/>
            </a:solidFill>
            <a:prstDash val="solid"/>
            <a:miter lim="800000"/>
          </a:ln>
          <a:effectLst xmlns:a="http://schemas.openxmlformats.org/drawingml/2006/main"/>
        </cdr:spPr>
      </cdr:cxnSp>
      <cdr:cxnSp macro="">
        <cdr:nvCxnSpPr>
          <cdr:cNvPr id="11" name="Connettore 1 101">
            <a:extLst xmlns:a="http://schemas.openxmlformats.org/drawingml/2006/main">
              <a:ext uri="{FF2B5EF4-FFF2-40B4-BE49-F238E27FC236}">
                <a16:creationId xmlns:a16="http://schemas.microsoft.com/office/drawing/2014/main" id="{914F826F-8C8B-41DC-AAF8-7863AE165CBB}"/>
              </a:ext>
            </a:extLst>
          </cdr:cNvPr>
          <cdr:cNvCxnSpPr/>
        </cdr:nvCxnSpPr>
        <cdr:spPr>
          <a:xfrm xmlns:a="http://schemas.openxmlformats.org/drawingml/2006/main" rot="10800000" flipV="1">
            <a:off x="-2160270" y="-7039022"/>
            <a:ext cx="671514" cy="535789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19050" cap="flat" cmpd="sng" algn="ctr">
            <a:solidFill>
              <a:srgbClr val="4472C4"/>
            </a:solidFill>
            <a:prstDash val="solid"/>
            <a:miter lim="800000"/>
          </a:ln>
          <a:effectLst xmlns:a="http://schemas.openxmlformats.org/drawingml/2006/main"/>
        </cdr:spPr>
      </cdr:cxnSp>
      <cdr:sp macro="" textlink="">
        <cdr:nvSpPr>
          <cdr:cNvPr id="12" name="Ovale 102">
            <a:extLst xmlns:a="http://schemas.openxmlformats.org/drawingml/2006/main">
              <a:ext uri="{FF2B5EF4-FFF2-40B4-BE49-F238E27FC236}">
                <a16:creationId xmlns:a16="http://schemas.microsoft.com/office/drawing/2014/main" id="{8DFBC91F-06C6-40E2-9C5E-58D282F112F0}"/>
              </a:ext>
            </a:extLst>
          </cdr:cNvPr>
          <cdr:cNvSpPr/>
        </cdr:nvSpPr>
        <cdr:spPr>
          <a:xfrm xmlns:a="http://schemas.openxmlformats.org/drawingml/2006/main">
            <a:off x="-1731642" y="-7396214"/>
            <a:ext cx="428628" cy="357192"/>
          </a:xfrm>
          <a:prstGeom xmlns:a="http://schemas.openxmlformats.org/drawingml/2006/main" prst="ellipse">
            <a:avLst/>
          </a:prstGeom>
          <a:solidFill xmlns:a="http://schemas.openxmlformats.org/drawingml/2006/main">
            <a:srgbClr val="4472C4"/>
          </a:solidFill>
          <a:ln xmlns:a="http://schemas.openxmlformats.org/drawingml/2006/main" w="12700" cap="flat" cmpd="sng" algn="ctr">
            <a:solidFill>
              <a:srgbClr val="4472C4">
                <a:shade val="50000"/>
              </a:srgbClr>
            </a:solidFill>
            <a:prstDash val="solid"/>
            <a:miter lim="800000"/>
          </a:ln>
          <a:effectLst xmlns:a="http://schemas.openxmlformats.org/drawingml/2006/main"/>
        </cdr:spPr>
        <cdr:txBody>
          <a:bodyPr xmlns:a="http://schemas.openxmlformats.org/drawingml/2006/main" rtlCol="0" anchor="ctr"/>
          <a:lstStyle xmlns:a="http://schemas.openxmlformats.org/drawingml/2006/main"/>
          <a:p xmlns:a="http://schemas.openxmlformats.org/drawingml/2006/main">
            <a:endParaRPr lang="en-GB"/>
          </a:p>
        </cdr:txBody>
      </cdr:sp>
    </cdr:grp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w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3.bin"/><Relationship Id="rId5" Type="http://schemas.openxmlformats.org/officeDocument/2006/relationships/image" Target="../media/image4.wmf"/><Relationship Id="rId4" Type="http://schemas.openxmlformats.org/officeDocument/2006/relationships/oleObject" Target="../embeddings/oleObject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7.wmf"/><Relationship Id="rId4" Type="http://schemas.openxmlformats.org/officeDocument/2006/relationships/oleObject" Target="../embeddings/oleObject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7.bin"/><Relationship Id="rId3" Type="http://schemas.openxmlformats.org/officeDocument/2006/relationships/vmlDrawing" Target="../drawings/vmlDrawing4.vml"/><Relationship Id="rId7" Type="http://schemas.openxmlformats.org/officeDocument/2006/relationships/image" Target="../media/image10.emf"/><Relationship Id="rId12" Type="http://schemas.openxmlformats.org/officeDocument/2006/relationships/oleObject" Target="../embeddings/oleObject9.bin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6.bin"/><Relationship Id="rId11" Type="http://schemas.openxmlformats.org/officeDocument/2006/relationships/image" Target="../media/image12.wmf"/><Relationship Id="rId5" Type="http://schemas.openxmlformats.org/officeDocument/2006/relationships/image" Target="../media/image9.emf"/><Relationship Id="rId10" Type="http://schemas.openxmlformats.org/officeDocument/2006/relationships/oleObject" Target="../embeddings/oleObject8.bin"/><Relationship Id="rId4" Type="http://schemas.openxmlformats.org/officeDocument/2006/relationships/oleObject" Target="../embeddings/oleObject5.bin"/><Relationship Id="rId9" Type="http://schemas.openxmlformats.org/officeDocument/2006/relationships/image" Target="../media/image11.wmf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3.emf"/><Relationship Id="rId4" Type="http://schemas.openxmlformats.org/officeDocument/2006/relationships/oleObject" Target="../embeddings/oleObject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74DA8-E267-416E-8777-7F995B7B74E6}">
  <dimension ref="A4:M35"/>
  <sheetViews>
    <sheetView topLeftCell="A10" workbookViewId="0">
      <selection activeCell="D17" sqref="D17:K31"/>
    </sheetView>
  </sheetViews>
  <sheetFormatPr defaultRowHeight="13.2" x14ac:dyDescent="0.25"/>
  <cols>
    <col min="5" max="5" width="5.5546875" customWidth="1"/>
    <col min="8" max="8" width="11.44140625" customWidth="1"/>
    <col min="9" max="9" width="18.44140625" customWidth="1"/>
    <col min="10" max="10" width="8.109375" customWidth="1"/>
  </cols>
  <sheetData>
    <row r="4" spans="1:13" x14ac:dyDescent="0.25">
      <c r="A4" s="35" t="s">
        <v>19</v>
      </c>
      <c r="D4" s="35" t="s">
        <v>48</v>
      </c>
    </row>
    <row r="5" spans="1:13" x14ac:dyDescent="0.25">
      <c r="A5" s="31">
        <v>4</v>
      </c>
      <c r="D5" s="31">
        <v>1</v>
      </c>
      <c r="I5" s="52"/>
    </row>
    <row r="6" spans="1:13" x14ac:dyDescent="0.25">
      <c r="I6" s="52"/>
    </row>
    <row r="7" spans="1:13" x14ac:dyDescent="0.25">
      <c r="I7" s="52"/>
    </row>
    <row r="8" spans="1:13" x14ac:dyDescent="0.25">
      <c r="I8" s="52"/>
    </row>
    <row r="9" spans="1:13" x14ac:dyDescent="0.25">
      <c r="I9" s="52"/>
    </row>
    <row r="10" spans="1:13" ht="17.399999999999999" x14ac:dyDescent="0.3">
      <c r="I10" s="52"/>
      <c r="M10" s="119"/>
    </row>
    <row r="11" spans="1:13" x14ac:dyDescent="0.25">
      <c r="I11" s="52"/>
    </row>
    <row r="12" spans="1:13" x14ac:dyDescent="0.25">
      <c r="I12" s="52"/>
    </row>
    <row r="13" spans="1:13" x14ac:dyDescent="0.25">
      <c r="I13" s="52"/>
    </row>
    <row r="14" spans="1:13" x14ac:dyDescent="0.25">
      <c r="I14" s="52"/>
    </row>
    <row r="15" spans="1:13" x14ac:dyDescent="0.25">
      <c r="F15" t="s">
        <v>128</v>
      </c>
      <c r="I15" s="52" t="s">
        <v>130</v>
      </c>
    </row>
    <row r="16" spans="1:13" x14ac:dyDescent="0.25">
      <c r="I16" s="52"/>
    </row>
    <row r="17" spans="4:11" x14ac:dyDescent="0.25">
      <c r="D17" s="152" t="s">
        <v>6</v>
      </c>
      <c r="F17" t="s">
        <v>126</v>
      </c>
      <c r="G17" s="14" t="s">
        <v>9</v>
      </c>
      <c r="H17" t="s">
        <v>127</v>
      </c>
      <c r="I17" s="120" t="s">
        <v>129</v>
      </c>
      <c r="K17" s="52" t="s">
        <v>12</v>
      </c>
    </row>
    <row r="18" spans="4:11" x14ac:dyDescent="0.25">
      <c r="D18" s="152">
        <v>0.05</v>
      </c>
      <c r="F18">
        <f t="shared" ref="F18:F31" si="0">$A$5*D18</f>
        <v>0.2</v>
      </c>
      <c r="G18">
        <f>$D$5/F18</f>
        <v>5</v>
      </c>
      <c r="H18" s="1">
        <f t="shared" ref="H18:H31" si="1">1/(2*9.81*F18^2)</f>
        <v>1.2742099898063197</v>
      </c>
      <c r="I18" s="121">
        <f>0.5*G18^2/(2*9.81)</f>
        <v>0.63710499490315997</v>
      </c>
      <c r="K18" s="54">
        <f t="shared" ref="K18:K31" si="2">D18+I18</f>
        <v>0.68710499490316002</v>
      </c>
    </row>
    <row r="19" spans="4:11" x14ac:dyDescent="0.25">
      <c r="D19" s="152">
        <v>0.1</v>
      </c>
      <c r="F19">
        <f t="shared" si="0"/>
        <v>0.4</v>
      </c>
      <c r="G19">
        <f t="shared" ref="G19:G24" si="3">$D$5/F19</f>
        <v>2.5</v>
      </c>
      <c r="H19" s="1">
        <f t="shared" si="1"/>
        <v>0.31855249745157993</v>
      </c>
      <c r="I19" s="121">
        <f t="shared" ref="I19:I31" si="4">0.5*G19^2/(2*9.81)</f>
        <v>0.15927624872578999</v>
      </c>
      <c r="K19" s="54">
        <f t="shared" si="2"/>
        <v>0.25927624872579003</v>
      </c>
    </row>
    <row r="20" spans="4:11" x14ac:dyDescent="0.25">
      <c r="D20" s="152">
        <v>0.2</v>
      </c>
      <c r="F20">
        <f t="shared" si="0"/>
        <v>0.8</v>
      </c>
      <c r="G20">
        <f t="shared" si="3"/>
        <v>1.25</v>
      </c>
      <c r="H20" s="1">
        <f t="shared" si="1"/>
        <v>7.9638124362894983E-2</v>
      </c>
      <c r="I20" s="121">
        <f t="shared" si="4"/>
        <v>3.9819062181447498E-2</v>
      </c>
      <c r="K20" s="54">
        <f t="shared" si="2"/>
        <v>0.2398190621814475</v>
      </c>
    </row>
    <row r="21" spans="4:11" x14ac:dyDescent="0.25">
      <c r="D21" s="152">
        <v>0.25</v>
      </c>
      <c r="F21">
        <f t="shared" si="0"/>
        <v>1</v>
      </c>
      <c r="G21">
        <f t="shared" si="3"/>
        <v>1</v>
      </c>
      <c r="H21" s="1">
        <f t="shared" si="1"/>
        <v>5.09683995922528E-2</v>
      </c>
      <c r="I21" s="121">
        <f t="shared" si="4"/>
        <v>2.54841997961264E-2</v>
      </c>
      <c r="K21" s="54">
        <f t="shared" si="2"/>
        <v>0.27548419979612637</v>
      </c>
    </row>
    <row r="22" spans="4:11" x14ac:dyDescent="0.25">
      <c r="D22" s="152">
        <v>0.27</v>
      </c>
      <c r="F22">
        <f t="shared" si="0"/>
        <v>1.08</v>
      </c>
      <c r="G22">
        <f t="shared" si="3"/>
        <v>0.92592592592592582</v>
      </c>
      <c r="H22" s="1">
        <f t="shared" si="1"/>
        <v>4.3697187579091898E-2</v>
      </c>
      <c r="I22" s="121">
        <f t="shared" si="4"/>
        <v>2.1848593789545949E-2</v>
      </c>
      <c r="K22" s="54">
        <f t="shared" si="2"/>
        <v>0.29184859378954597</v>
      </c>
    </row>
    <row r="23" spans="4:11" x14ac:dyDescent="0.25">
      <c r="D23" s="152">
        <v>0.3</v>
      </c>
      <c r="F23">
        <f t="shared" si="0"/>
        <v>1.2</v>
      </c>
      <c r="G23">
        <f t="shared" si="3"/>
        <v>0.83333333333333337</v>
      </c>
      <c r="H23" s="1">
        <f t="shared" si="1"/>
        <v>3.5394721939064448E-2</v>
      </c>
      <c r="I23" s="121">
        <f t="shared" si="4"/>
        <v>1.7697360969532224E-2</v>
      </c>
      <c r="K23" s="54">
        <f t="shared" si="2"/>
        <v>0.31769736096953222</v>
      </c>
    </row>
    <row r="24" spans="4:11" x14ac:dyDescent="0.25">
      <c r="D24" s="152">
        <v>0.35</v>
      </c>
      <c r="F24">
        <f t="shared" si="0"/>
        <v>1.4</v>
      </c>
      <c r="G24">
        <f t="shared" si="3"/>
        <v>0.7142857142857143</v>
      </c>
      <c r="H24" s="1">
        <f t="shared" si="1"/>
        <v>2.6004285506251432E-2</v>
      </c>
      <c r="I24" s="121">
        <f t="shared" si="4"/>
        <v>1.3002142753125714E-2</v>
      </c>
      <c r="K24" s="54">
        <f t="shared" si="2"/>
        <v>0.3630021427531257</v>
      </c>
    </row>
    <row r="25" spans="4:11" x14ac:dyDescent="0.25">
      <c r="D25" s="152">
        <v>0.375</v>
      </c>
      <c r="F25">
        <f t="shared" si="0"/>
        <v>1.5</v>
      </c>
      <c r="G25">
        <f t="shared" ref="G25:G31" si="5">$D$5/F25</f>
        <v>0.66666666666666663</v>
      </c>
      <c r="H25" s="1">
        <f t="shared" si="1"/>
        <v>2.2652622041001245E-2</v>
      </c>
      <c r="I25" s="121">
        <f t="shared" si="4"/>
        <v>1.1326311020500622E-2</v>
      </c>
      <c r="K25" s="153">
        <f t="shared" si="2"/>
        <v>0.38632631102050063</v>
      </c>
    </row>
    <row r="26" spans="4:11" x14ac:dyDescent="0.25">
      <c r="D26" s="152">
        <v>0.38</v>
      </c>
      <c r="F26">
        <f t="shared" si="0"/>
        <v>1.52</v>
      </c>
      <c r="G26">
        <f t="shared" si="5"/>
        <v>0.65789473684210531</v>
      </c>
      <c r="H26" s="1">
        <f t="shared" si="1"/>
        <v>2.206042226118975E-2</v>
      </c>
      <c r="I26" s="121">
        <f t="shared" si="4"/>
        <v>1.1030211130594878E-2</v>
      </c>
      <c r="K26" s="153">
        <f t="shared" si="2"/>
        <v>0.39103021113059488</v>
      </c>
    </row>
    <row r="27" spans="4:11" x14ac:dyDescent="0.25">
      <c r="D27" s="152">
        <v>0.39</v>
      </c>
      <c r="F27">
        <f t="shared" si="0"/>
        <v>1.56</v>
      </c>
      <c r="G27">
        <f t="shared" si="5"/>
        <v>0.64102564102564097</v>
      </c>
      <c r="H27" s="1">
        <f t="shared" si="1"/>
        <v>2.0943622449150559E-2</v>
      </c>
      <c r="I27" s="121">
        <f t="shared" si="4"/>
        <v>1.0471811224575278E-2</v>
      </c>
      <c r="K27" s="54">
        <f t="shared" si="2"/>
        <v>0.40047181122457531</v>
      </c>
    </row>
    <row r="28" spans="4:11" x14ac:dyDescent="0.25">
      <c r="D28" s="152">
        <v>0.4</v>
      </c>
      <c r="F28">
        <f t="shared" si="0"/>
        <v>1.6</v>
      </c>
      <c r="G28">
        <f t="shared" si="5"/>
        <v>0.625</v>
      </c>
      <c r="H28" s="1">
        <f t="shared" si="1"/>
        <v>1.9909531090723746E-2</v>
      </c>
      <c r="I28" s="121">
        <f t="shared" si="4"/>
        <v>9.9547655453618746E-3</v>
      </c>
      <c r="K28" s="54">
        <f t="shared" si="2"/>
        <v>0.40995476554536192</v>
      </c>
    </row>
    <row r="29" spans="4:11" x14ac:dyDescent="0.25">
      <c r="D29" s="152">
        <v>0.5</v>
      </c>
      <c r="F29">
        <f t="shared" si="0"/>
        <v>2</v>
      </c>
      <c r="G29">
        <f t="shared" si="5"/>
        <v>0.5</v>
      </c>
      <c r="H29" s="1">
        <f t="shared" si="1"/>
        <v>1.27420998980632E-2</v>
      </c>
      <c r="I29" s="121">
        <f t="shared" si="4"/>
        <v>6.3710499490316E-3</v>
      </c>
      <c r="K29" s="54">
        <f t="shared" si="2"/>
        <v>0.50637104994903159</v>
      </c>
    </row>
    <row r="30" spans="4:11" x14ac:dyDescent="0.25">
      <c r="D30" s="152">
        <v>0.6</v>
      </c>
      <c r="F30">
        <f t="shared" si="0"/>
        <v>2.4</v>
      </c>
      <c r="G30">
        <f t="shared" si="5"/>
        <v>0.41666666666666669</v>
      </c>
      <c r="H30" s="1">
        <f t="shared" si="1"/>
        <v>8.8486804847661121E-3</v>
      </c>
      <c r="I30" s="121">
        <f t="shared" si="4"/>
        <v>4.424340242383056E-3</v>
      </c>
      <c r="K30" s="54">
        <f t="shared" si="2"/>
        <v>0.60442434024238301</v>
      </c>
    </row>
    <row r="31" spans="4:11" x14ac:dyDescent="0.25">
      <c r="D31" s="152">
        <v>1.5</v>
      </c>
      <c r="F31">
        <f t="shared" si="0"/>
        <v>6</v>
      </c>
      <c r="G31">
        <f t="shared" si="5"/>
        <v>0.16666666666666666</v>
      </c>
      <c r="H31" s="1">
        <f t="shared" si="1"/>
        <v>1.4157888775625778E-3</v>
      </c>
      <c r="I31" s="121">
        <f t="shared" si="4"/>
        <v>7.078944387812889E-4</v>
      </c>
      <c r="K31" s="54">
        <f t="shared" si="2"/>
        <v>1.5007078944387813</v>
      </c>
    </row>
    <row r="32" spans="4:11" x14ac:dyDescent="0.25">
      <c r="H32" s="1"/>
      <c r="I32" s="1"/>
    </row>
    <row r="35" spans="7:7" x14ac:dyDescent="0.25">
      <c r="G35">
        <f>0.38*1.5</f>
        <v>0.57000000000000006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L58"/>
  <sheetViews>
    <sheetView topLeftCell="A13" workbookViewId="0">
      <selection activeCell="E30" sqref="E30:E31"/>
    </sheetView>
  </sheetViews>
  <sheetFormatPr defaultRowHeight="13.2" x14ac:dyDescent="0.25"/>
  <sheetData>
    <row r="1" spans="2:12" x14ac:dyDescent="0.25">
      <c r="B1" s="50" t="s">
        <v>61</v>
      </c>
      <c r="C1" s="50">
        <v>1</v>
      </c>
    </row>
    <row r="2" spans="2:12" x14ac:dyDescent="0.25">
      <c r="B2" s="50" t="s">
        <v>62</v>
      </c>
      <c r="C2" s="50">
        <v>0.5</v>
      </c>
      <c r="D2" s="38">
        <f>($C$1-C5)/$C$7/2</f>
        <v>0</v>
      </c>
    </row>
    <row r="3" spans="2:12" x14ac:dyDescent="0.25">
      <c r="B3" s="31" t="s">
        <v>48</v>
      </c>
      <c r="C3" s="31"/>
    </row>
    <row r="4" spans="2:12" x14ac:dyDescent="0.25">
      <c r="B4" s="31" t="s">
        <v>63</v>
      </c>
      <c r="C4" s="31"/>
    </row>
    <row r="5" spans="2:12" x14ac:dyDescent="0.25">
      <c r="B5" s="31" t="s">
        <v>64</v>
      </c>
      <c r="C5" s="31">
        <v>1</v>
      </c>
    </row>
    <row r="6" spans="2:12" x14ac:dyDescent="0.25">
      <c r="B6" s="31" t="s">
        <v>65</v>
      </c>
      <c r="C6" s="31">
        <v>0.5</v>
      </c>
    </row>
    <row r="7" spans="2:12" x14ac:dyDescent="0.25">
      <c r="B7" s="35" t="s">
        <v>67</v>
      </c>
      <c r="C7" s="31">
        <v>4</v>
      </c>
    </row>
    <row r="8" spans="2:12" x14ac:dyDescent="0.25">
      <c r="F8" t="s">
        <v>28</v>
      </c>
    </row>
    <row r="10" spans="2:12" x14ac:dyDescent="0.25">
      <c r="D10" s="14" t="s">
        <v>66</v>
      </c>
      <c r="E10" s="14" t="s">
        <v>80</v>
      </c>
      <c r="F10" s="14" t="s">
        <v>68</v>
      </c>
      <c r="G10" s="14" t="s">
        <v>9</v>
      </c>
      <c r="H10" t="s">
        <v>5</v>
      </c>
      <c r="I10" t="s">
        <v>10</v>
      </c>
      <c r="J10" t="s">
        <v>13</v>
      </c>
      <c r="K10" t="s">
        <v>14</v>
      </c>
      <c r="L10" t="s">
        <v>16</v>
      </c>
    </row>
    <row r="11" spans="2:12" x14ac:dyDescent="0.25">
      <c r="D11">
        <v>0</v>
      </c>
      <c r="E11" s="14">
        <f>$C$1+($C$2-$C$1)/2*D11</f>
        <v>1</v>
      </c>
      <c r="F11">
        <f>E11*$C$5</f>
        <v>1</v>
      </c>
      <c r="G11">
        <v>0.36</v>
      </c>
      <c r="H11" t="e">
        <f>#REF!^2/(2*9.81)</f>
        <v>#REF!</v>
      </c>
      <c r="I11" t="e">
        <f>$B$10*H11/(4*#REF!)</f>
        <v>#REF!</v>
      </c>
      <c r="J11" t="e">
        <f t="shared" ref="J11:J29" si="0">($B$8-I11)*$B$13</f>
        <v>#REF!</v>
      </c>
      <c r="K11" t="e">
        <f t="shared" ref="K11:K29" si="1">1-$B$7^2/($B$4^2*G11^3*9.81)</f>
        <v>#VALUE!</v>
      </c>
      <c r="L11" t="e">
        <f>J11/K11</f>
        <v>#REF!</v>
      </c>
    </row>
    <row r="12" spans="2:12" x14ac:dyDescent="0.25">
      <c r="D12">
        <f>D11+0.1</f>
        <v>0.1</v>
      </c>
      <c r="E12" s="14">
        <f t="shared" ref="E12:E31" si="2">$C$1+($C$2-$C$1)/2*D12</f>
        <v>0.97499999999999998</v>
      </c>
      <c r="F12">
        <f t="shared" ref="F12:F58" si="3">E12*$C$5</f>
        <v>0.97499999999999998</v>
      </c>
      <c r="G12" t="e">
        <f t="shared" ref="G12:G29" si="4">G11+L11</f>
        <v>#REF!</v>
      </c>
      <c r="H12" t="e">
        <f>#REF!^2/(2*9.81)</f>
        <v>#REF!</v>
      </c>
      <c r="I12" t="e">
        <f>$B$10*H12/(4*#REF!)</f>
        <v>#REF!</v>
      </c>
      <c r="J12" t="e">
        <f t="shared" si="0"/>
        <v>#REF!</v>
      </c>
      <c r="K12" t="e">
        <f t="shared" si="1"/>
        <v>#VALUE!</v>
      </c>
      <c r="L12" t="e">
        <f t="shared" ref="L12:L58" si="5">J12/K12</f>
        <v>#REF!</v>
      </c>
    </row>
    <row r="13" spans="2:12" x14ac:dyDescent="0.25">
      <c r="D13">
        <f t="shared" ref="D13:D58" si="6">D12+0.1</f>
        <v>0.2</v>
      </c>
      <c r="E13" s="14">
        <f t="shared" si="2"/>
        <v>0.95</v>
      </c>
      <c r="F13">
        <f t="shared" si="3"/>
        <v>0.95</v>
      </c>
      <c r="G13" t="e">
        <f t="shared" si="4"/>
        <v>#REF!</v>
      </c>
      <c r="H13" t="e">
        <f>#REF!^2/(2*9.81)</f>
        <v>#REF!</v>
      </c>
      <c r="I13" t="e">
        <f>$B$10*H13/(4*#REF!)</f>
        <v>#REF!</v>
      </c>
      <c r="J13" t="e">
        <f t="shared" si="0"/>
        <v>#REF!</v>
      </c>
      <c r="K13" t="e">
        <f t="shared" si="1"/>
        <v>#VALUE!</v>
      </c>
      <c r="L13" t="e">
        <f t="shared" si="5"/>
        <v>#REF!</v>
      </c>
    </row>
    <row r="14" spans="2:12" x14ac:dyDescent="0.25">
      <c r="D14">
        <f t="shared" si="6"/>
        <v>0.30000000000000004</v>
      </c>
      <c r="E14" s="14">
        <f t="shared" si="2"/>
        <v>0.92500000000000004</v>
      </c>
      <c r="F14">
        <f t="shared" si="3"/>
        <v>0.92500000000000004</v>
      </c>
      <c r="G14" t="e">
        <f t="shared" si="4"/>
        <v>#REF!</v>
      </c>
      <c r="H14" t="e">
        <f>#REF!^2/(2*9.81)</f>
        <v>#REF!</v>
      </c>
      <c r="I14" t="e">
        <f>$B$10*H14/(4*#REF!)</f>
        <v>#REF!</v>
      </c>
      <c r="J14" t="e">
        <f t="shared" si="0"/>
        <v>#REF!</v>
      </c>
      <c r="K14" t="e">
        <f t="shared" si="1"/>
        <v>#VALUE!</v>
      </c>
      <c r="L14" t="e">
        <f t="shared" si="5"/>
        <v>#REF!</v>
      </c>
    </row>
    <row r="15" spans="2:12" x14ac:dyDescent="0.25">
      <c r="D15">
        <f t="shared" si="6"/>
        <v>0.4</v>
      </c>
      <c r="E15" s="14">
        <f t="shared" si="2"/>
        <v>0.9</v>
      </c>
      <c r="F15">
        <f t="shared" si="3"/>
        <v>0.9</v>
      </c>
      <c r="G15" t="e">
        <f t="shared" si="4"/>
        <v>#REF!</v>
      </c>
      <c r="H15" t="e">
        <f>#REF!^2/(2*9.81)</f>
        <v>#REF!</v>
      </c>
      <c r="I15" t="e">
        <f>$B$10*H15/(4*#REF!)</f>
        <v>#REF!</v>
      </c>
      <c r="J15" t="e">
        <f t="shared" si="0"/>
        <v>#REF!</v>
      </c>
      <c r="K15" t="e">
        <f t="shared" si="1"/>
        <v>#VALUE!</v>
      </c>
      <c r="L15" t="e">
        <f t="shared" si="5"/>
        <v>#REF!</v>
      </c>
    </row>
    <row r="16" spans="2:12" x14ac:dyDescent="0.25">
      <c r="D16">
        <f t="shared" si="6"/>
        <v>0.5</v>
      </c>
      <c r="E16" s="14">
        <f t="shared" si="2"/>
        <v>0.875</v>
      </c>
      <c r="F16">
        <f t="shared" si="3"/>
        <v>0.875</v>
      </c>
      <c r="G16" t="e">
        <f t="shared" si="4"/>
        <v>#REF!</v>
      </c>
      <c r="H16" t="e">
        <f>#REF!^2/(2*9.81)</f>
        <v>#REF!</v>
      </c>
      <c r="I16" t="e">
        <f>$B$10*H16/(4*#REF!)</f>
        <v>#REF!</v>
      </c>
      <c r="J16" t="e">
        <f t="shared" si="0"/>
        <v>#REF!</v>
      </c>
      <c r="K16" t="e">
        <f t="shared" si="1"/>
        <v>#VALUE!</v>
      </c>
      <c r="L16" t="e">
        <f t="shared" si="5"/>
        <v>#REF!</v>
      </c>
    </row>
    <row r="17" spans="4:12" x14ac:dyDescent="0.25">
      <c r="D17">
        <f t="shared" si="6"/>
        <v>0.6</v>
      </c>
      <c r="E17" s="14">
        <f t="shared" si="2"/>
        <v>0.85</v>
      </c>
      <c r="F17">
        <f t="shared" si="3"/>
        <v>0.85</v>
      </c>
      <c r="G17" t="e">
        <f t="shared" si="4"/>
        <v>#REF!</v>
      </c>
      <c r="H17" t="e">
        <f>#REF!^2/(2*9.81)</f>
        <v>#REF!</v>
      </c>
      <c r="I17" t="e">
        <f>$B$10*H17/(4*#REF!)</f>
        <v>#REF!</v>
      </c>
      <c r="J17" t="e">
        <f t="shared" si="0"/>
        <v>#REF!</v>
      </c>
      <c r="K17" t="e">
        <f t="shared" si="1"/>
        <v>#VALUE!</v>
      </c>
      <c r="L17" t="e">
        <f t="shared" si="5"/>
        <v>#REF!</v>
      </c>
    </row>
    <row r="18" spans="4:12" x14ac:dyDescent="0.25">
      <c r="D18">
        <f t="shared" si="6"/>
        <v>0.7</v>
      </c>
      <c r="E18" s="14">
        <f t="shared" si="2"/>
        <v>0.82499999999999996</v>
      </c>
      <c r="F18">
        <f t="shared" si="3"/>
        <v>0.82499999999999996</v>
      </c>
      <c r="G18" t="e">
        <f t="shared" si="4"/>
        <v>#REF!</v>
      </c>
      <c r="H18" t="e">
        <f>#REF!^2/(2*9.81)</f>
        <v>#REF!</v>
      </c>
      <c r="I18" t="e">
        <f>$B$10*H18/(4*#REF!)</f>
        <v>#REF!</v>
      </c>
      <c r="J18" t="e">
        <f t="shared" si="0"/>
        <v>#REF!</v>
      </c>
      <c r="K18" t="e">
        <f t="shared" si="1"/>
        <v>#VALUE!</v>
      </c>
      <c r="L18" t="e">
        <f t="shared" si="5"/>
        <v>#REF!</v>
      </c>
    </row>
    <row r="19" spans="4:12" x14ac:dyDescent="0.25">
      <c r="D19">
        <f t="shared" si="6"/>
        <v>0.79999999999999993</v>
      </c>
      <c r="E19" s="14">
        <f t="shared" si="2"/>
        <v>0.8</v>
      </c>
      <c r="F19">
        <f t="shared" si="3"/>
        <v>0.8</v>
      </c>
      <c r="G19" t="e">
        <f t="shared" si="4"/>
        <v>#REF!</v>
      </c>
      <c r="H19" t="e">
        <f>#REF!^2/(2*9.81)</f>
        <v>#REF!</v>
      </c>
      <c r="I19" t="e">
        <f>$B$10*H19/(4*#REF!)</f>
        <v>#REF!</v>
      </c>
      <c r="J19" t="e">
        <f t="shared" si="0"/>
        <v>#REF!</v>
      </c>
      <c r="K19" t="e">
        <f t="shared" si="1"/>
        <v>#VALUE!</v>
      </c>
      <c r="L19" t="e">
        <f t="shared" si="5"/>
        <v>#REF!</v>
      </c>
    </row>
    <row r="20" spans="4:12" x14ac:dyDescent="0.25">
      <c r="D20">
        <f t="shared" si="6"/>
        <v>0.89999999999999991</v>
      </c>
      <c r="E20" s="14">
        <f t="shared" si="2"/>
        <v>0.77500000000000002</v>
      </c>
      <c r="F20">
        <f t="shared" si="3"/>
        <v>0.77500000000000002</v>
      </c>
      <c r="G20" t="e">
        <f t="shared" si="4"/>
        <v>#REF!</v>
      </c>
      <c r="H20" t="e">
        <f>#REF!^2/(2*9.81)</f>
        <v>#REF!</v>
      </c>
      <c r="I20" t="e">
        <f>$B$10*H20/(4*#REF!)</f>
        <v>#REF!</v>
      </c>
      <c r="J20" t="e">
        <f t="shared" si="0"/>
        <v>#REF!</v>
      </c>
      <c r="K20" t="e">
        <f t="shared" si="1"/>
        <v>#VALUE!</v>
      </c>
      <c r="L20" t="e">
        <f t="shared" si="5"/>
        <v>#REF!</v>
      </c>
    </row>
    <row r="21" spans="4:12" x14ac:dyDescent="0.25">
      <c r="D21">
        <f t="shared" si="6"/>
        <v>0.99999999999999989</v>
      </c>
      <c r="E21" s="14">
        <f t="shared" si="2"/>
        <v>0.75</v>
      </c>
      <c r="F21">
        <f t="shared" si="3"/>
        <v>0.75</v>
      </c>
      <c r="G21" t="e">
        <f t="shared" si="4"/>
        <v>#REF!</v>
      </c>
      <c r="H21" t="e">
        <f>#REF!^2/(2*9.81)</f>
        <v>#REF!</v>
      </c>
      <c r="I21" t="e">
        <f>$B$10*H21/(4*#REF!)</f>
        <v>#REF!</v>
      </c>
      <c r="J21" t="e">
        <f t="shared" si="0"/>
        <v>#REF!</v>
      </c>
      <c r="K21" t="e">
        <f t="shared" si="1"/>
        <v>#VALUE!</v>
      </c>
      <c r="L21" t="e">
        <f t="shared" si="5"/>
        <v>#REF!</v>
      </c>
    </row>
    <row r="22" spans="4:12" x14ac:dyDescent="0.25">
      <c r="D22">
        <f>D21+0.1</f>
        <v>1.0999999999999999</v>
      </c>
      <c r="E22" s="14">
        <f t="shared" si="2"/>
        <v>0.72500000000000009</v>
      </c>
      <c r="F22">
        <f t="shared" si="3"/>
        <v>0.72500000000000009</v>
      </c>
      <c r="G22" t="e">
        <f t="shared" si="4"/>
        <v>#REF!</v>
      </c>
      <c r="H22" t="e">
        <f>#REF!^2/(2*9.81)</f>
        <v>#REF!</v>
      </c>
      <c r="I22" t="e">
        <f>$B$10*H22/(4*#REF!)</f>
        <v>#REF!</v>
      </c>
      <c r="J22" t="e">
        <f t="shared" si="0"/>
        <v>#REF!</v>
      </c>
      <c r="K22" t="e">
        <f t="shared" si="1"/>
        <v>#VALUE!</v>
      </c>
      <c r="L22" t="e">
        <f t="shared" si="5"/>
        <v>#REF!</v>
      </c>
    </row>
    <row r="23" spans="4:12" x14ac:dyDescent="0.25">
      <c r="D23">
        <f t="shared" si="6"/>
        <v>1.2</v>
      </c>
      <c r="E23" s="14">
        <f t="shared" si="2"/>
        <v>0.7</v>
      </c>
      <c r="F23">
        <f t="shared" si="3"/>
        <v>0.7</v>
      </c>
      <c r="G23" t="e">
        <f t="shared" si="4"/>
        <v>#REF!</v>
      </c>
      <c r="H23" t="e">
        <f>#REF!^2/(2*9.81)</f>
        <v>#REF!</v>
      </c>
      <c r="I23" t="e">
        <f>$B$10*H23/(4*#REF!)</f>
        <v>#REF!</v>
      </c>
      <c r="J23" t="e">
        <f t="shared" si="0"/>
        <v>#REF!</v>
      </c>
      <c r="K23" t="e">
        <f t="shared" si="1"/>
        <v>#VALUE!</v>
      </c>
      <c r="L23" t="e">
        <f t="shared" si="5"/>
        <v>#REF!</v>
      </c>
    </row>
    <row r="24" spans="4:12" x14ac:dyDescent="0.25">
      <c r="D24">
        <f t="shared" si="6"/>
        <v>1.3</v>
      </c>
      <c r="E24" s="14">
        <f t="shared" si="2"/>
        <v>0.67500000000000004</v>
      </c>
      <c r="F24">
        <f t="shared" si="3"/>
        <v>0.67500000000000004</v>
      </c>
      <c r="G24" t="e">
        <f t="shared" si="4"/>
        <v>#REF!</v>
      </c>
      <c r="H24" t="e">
        <f>#REF!^2/(2*9.81)</f>
        <v>#REF!</v>
      </c>
      <c r="I24" t="e">
        <f>$B$10*H24/(4*#REF!)</f>
        <v>#REF!</v>
      </c>
      <c r="J24" t="e">
        <f t="shared" si="0"/>
        <v>#REF!</v>
      </c>
      <c r="K24" t="e">
        <f t="shared" si="1"/>
        <v>#VALUE!</v>
      </c>
      <c r="L24" t="e">
        <f t="shared" si="5"/>
        <v>#REF!</v>
      </c>
    </row>
    <row r="25" spans="4:12" x14ac:dyDescent="0.25">
      <c r="D25">
        <f t="shared" si="6"/>
        <v>1.4000000000000001</v>
      </c>
      <c r="E25" s="14">
        <f t="shared" si="2"/>
        <v>0.64999999999999991</v>
      </c>
      <c r="F25">
        <f t="shared" si="3"/>
        <v>0.64999999999999991</v>
      </c>
      <c r="G25" t="e">
        <f t="shared" si="4"/>
        <v>#REF!</v>
      </c>
      <c r="H25" t="e">
        <f>#REF!^2/(2*9.81)</f>
        <v>#REF!</v>
      </c>
      <c r="I25" t="e">
        <f>$B$10*H25/(4*#REF!)</f>
        <v>#REF!</v>
      </c>
      <c r="J25" t="e">
        <f t="shared" si="0"/>
        <v>#REF!</v>
      </c>
      <c r="K25" t="e">
        <f t="shared" si="1"/>
        <v>#VALUE!</v>
      </c>
      <c r="L25" t="e">
        <f t="shared" si="5"/>
        <v>#REF!</v>
      </c>
    </row>
    <row r="26" spans="4:12" x14ac:dyDescent="0.25">
      <c r="D26">
        <f t="shared" si="6"/>
        <v>1.5000000000000002</v>
      </c>
      <c r="E26" s="14">
        <f t="shared" si="2"/>
        <v>0.625</v>
      </c>
      <c r="F26">
        <f t="shared" si="3"/>
        <v>0.625</v>
      </c>
      <c r="G26" t="e">
        <f t="shared" si="4"/>
        <v>#REF!</v>
      </c>
      <c r="H26" t="e">
        <f>#REF!^2/(2*9.81)</f>
        <v>#REF!</v>
      </c>
      <c r="I26" t="e">
        <f>$B$10*H26/(4*#REF!)</f>
        <v>#REF!</v>
      </c>
      <c r="J26" t="e">
        <f t="shared" si="0"/>
        <v>#REF!</v>
      </c>
      <c r="K26" t="e">
        <f t="shared" si="1"/>
        <v>#VALUE!</v>
      </c>
      <c r="L26" t="e">
        <f t="shared" si="5"/>
        <v>#REF!</v>
      </c>
    </row>
    <row r="27" spans="4:12" x14ac:dyDescent="0.25">
      <c r="D27">
        <f t="shared" si="6"/>
        <v>1.6000000000000003</v>
      </c>
      <c r="E27" s="14">
        <f t="shared" si="2"/>
        <v>0.59999999999999987</v>
      </c>
      <c r="F27">
        <f t="shared" si="3"/>
        <v>0.59999999999999987</v>
      </c>
      <c r="G27" t="e">
        <f t="shared" si="4"/>
        <v>#REF!</v>
      </c>
      <c r="H27" t="e">
        <f>#REF!^2/(2*9.81)</f>
        <v>#REF!</v>
      </c>
      <c r="I27" t="e">
        <f>$B$10*H27/(4*#REF!)</f>
        <v>#REF!</v>
      </c>
      <c r="J27" t="e">
        <f t="shared" si="0"/>
        <v>#REF!</v>
      </c>
      <c r="K27" t="e">
        <f t="shared" si="1"/>
        <v>#VALUE!</v>
      </c>
      <c r="L27" t="e">
        <f t="shared" si="5"/>
        <v>#REF!</v>
      </c>
    </row>
    <row r="28" spans="4:12" x14ac:dyDescent="0.25">
      <c r="D28">
        <f t="shared" si="6"/>
        <v>1.7000000000000004</v>
      </c>
      <c r="E28" s="14">
        <f t="shared" si="2"/>
        <v>0.57499999999999996</v>
      </c>
      <c r="F28">
        <f t="shared" si="3"/>
        <v>0.57499999999999996</v>
      </c>
      <c r="G28" t="e">
        <f t="shared" si="4"/>
        <v>#REF!</v>
      </c>
      <c r="H28" t="e">
        <f>#REF!^2/(2*9.81)</f>
        <v>#REF!</v>
      </c>
      <c r="I28" t="e">
        <f>$B$10*H28/(4*#REF!)</f>
        <v>#REF!</v>
      </c>
      <c r="J28" t="e">
        <f t="shared" si="0"/>
        <v>#REF!</v>
      </c>
      <c r="K28" t="e">
        <f t="shared" si="1"/>
        <v>#VALUE!</v>
      </c>
      <c r="L28" t="e">
        <f t="shared" si="5"/>
        <v>#REF!</v>
      </c>
    </row>
    <row r="29" spans="4:12" x14ac:dyDescent="0.25">
      <c r="D29">
        <f t="shared" si="6"/>
        <v>1.8000000000000005</v>
      </c>
      <c r="E29" s="14">
        <f t="shared" si="2"/>
        <v>0.54999999999999982</v>
      </c>
      <c r="F29">
        <f t="shared" si="3"/>
        <v>0.54999999999999982</v>
      </c>
      <c r="G29" t="e">
        <f t="shared" si="4"/>
        <v>#REF!</v>
      </c>
      <c r="H29" t="e">
        <f>#REF!^2/(2*9.81)</f>
        <v>#REF!</v>
      </c>
      <c r="I29" t="e">
        <f>$B$10*H29/(4*#REF!)</f>
        <v>#REF!</v>
      </c>
      <c r="J29" t="e">
        <f t="shared" si="0"/>
        <v>#REF!</v>
      </c>
      <c r="K29" t="e">
        <f t="shared" si="1"/>
        <v>#VALUE!</v>
      </c>
      <c r="L29" t="e">
        <f t="shared" si="5"/>
        <v>#REF!</v>
      </c>
    </row>
    <row r="30" spans="4:12" x14ac:dyDescent="0.25">
      <c r="D30">
        <f t="shared" si="6"/>
        <v>1.9000000000000006</v>
      </c>
      <c r="E30" s="14">
        <f t="shared" si="2"/>
        <v>0.52499999999999991</v>
      </c>
      <c r="F30">
        <f t="shared" si="3"/>
        <v>0.52499999999999991</v>
      </c>
    </row>
    <row r="31" spans="4:12" x14ac:dyDescent="0.25">
      <c r="D31">
        <f t="shared" si="6"/>
        <v>2.0000000000000004</v>
      </c>
      <c r="E31" s="14">
        <f t="shared" si="2"/>
        <v>0.49999999999999989</v>
      </c>
      <c r="F31">
        <f t="shared" si="3"/>
        <v>0.49999999999999989</v>
      </c>
    </row>
    <row r="32" spans="4:12" x14ac:dyDescent="0.25">
      <c r="D32">
        <f t="shared" si="6"/>
        <v>2.1000000000000005</v>
      </c>
      <c r="E32">
        <f>$C$6+2*$D$2*(D32-$C$7/2)</f>
        <v>0.5</v>
      </c>
      <c r="F32">
        <f t="shared" si="3"/>
        <v>0.5</v>
      </c>
      <c r="G32" t="e">
        <f>G29+L29</f>
        <v>#REF!</v>
      </c>
      <c r="H32" t="e">
        <f>#REF!^2/(2*9.81)</f>
        <v>#REF!</v>
      </c>
      <c r="I32" t="e">
        <f>$B$10*H32/(4*#REF!)</f>
        <v>#REF!</v>
      </c>
      <c r="J32" t="e">
        <f t="shared" ref="J32:J58" si="7">($B$8-I32)*$B$13</f>
        <v>#REF!</v>
      </c>
      <c r="K32" t="e">
        <f t="shared" ref="K32:K58" si="8">1-$B$7^2/($B$4^2*G32^3*9.81)</f>
        <v>#VALUE!</v>
      </c>
      <c r="L32" t="e">
        <f t="shared" si="5"/>
        <v>#REF!</v>
      </c>
    </row>
    <row r="33" spans="4:12" x14ac:dyDescent="0.25">
      <c r="D33">
        <f t="shared" si="6"/>
        <v>2.2000000000000006</v>
      </c>
      <c r="E33">
        <f t="shared" ref="E33:E58" si="9">$C$6+2*$D$2*(D33-$C$7/2)</f>
        <v>0.5</v>
      </c>
      <c r="F33">
        <f t="shared" si="3"/>
        <v>0.5</v>
      </c>
      <c r="G33" t="e">
        <f t="shared" ref="G33:G58" si="10">G32+L32</f>
        <v>#REF!</v>
      </c>
      <c r="H33" t="e">
        <f>#REF!^2/(2*9.81)</f>
        <v>#REF!</v>
      </c>
      <c r="I33" t="e">
        <f>$B$10*H33/(4*#REF!)</f>
        <v>#REF!</v>
      </c>
      <c r="J33" t="e">
        <f t="shared" si="7"/>
        <v>#REF!</v>
      </c>
      <c r="K33" t="e">
        <f t="shared" si="8"/>
        <v>#VALUE!</v>
      </c>
      <c r="L33" t="e">
        <f t="shared" si="5"/>
        <v>#REF!</v>
      </c>
    </row>
    <row r="34" spans="4:12" x14ac:dyDescent="0.25">
      <c r="D34">
        <f t="shared" si="6"/>
        <v>2.3000000000000007</v>
      </c>
      <c r="E34">
        <f t="shared" si="9"/>
        <v>0.5</v>
      </c>
      <c r="F34">
        <f t="shared" si="3"/>
        <v>0.5</v>
      </c>
      <c r="G34" t="e">
        <f t="shared" si="10"/>
        <v>#REF!</v>
      </c>
      <c r="H34" t="e">
        <f>#REF!^2/(2*9.81)</f>
        <v>#REF!</v>
      </c>
      <c r="I34" t="e">
        <f>$B$10*H34/(4*#REF!)</f>
        <v>#REF!</v>
      </c>
      <c r="J34" t="e">
        <f t="shared" si="7"/>
        <v>#REF!</v>
      </c>
      <c r="K34" t="e">
        <f t="shared" si="8"/>
        <v>#VALUE!</v>
      </c>
      <c r="L34" t="e">
        <f t="shared" si="5"/>
        <v>#REF!</v>
      </c>
    </row>
    <row r="35" spans="4:12" x14ac:dyDescent="0.25">
      <c r="D35">
        <f t="shared" si="6"/>
        <v>2.4000000000000008</v>
      </c>
      <c r="E35">
        <f t="shared" si="9"/>
        <v>0.5</v>
      </c>
      <c r="F35">
        <f t="shared" si="3"/>
        <v>0.5</v>
      </c>
      <c r="G35" t="e">
        <f t="shared" si="10"/>
        <v>#REF!</v>
      </c>
      <c r="H35" t="e">
        <f>#REF!^2/(2*9.81)</f>
        <v>#REF!</v>
      </c>
      <c r="I35" t="e">
        <f>$B$10*H35/(4*#REF!)</f>
        <v>#REF!</v>
      </c>
      <c r="J35" t="e">
        <f t="shared" si="7"/>
        <v>#REF!</v>
      </c>
      <c r="K35" t="e">
        <f t="shared" si="8"/>
        <v>#VALUE!</v>
      </c>
      <c r="L35" t="e">
        <f t="shared" si="5"/>
        <v>#REF!</v>
      </c>
    </row>
    <row r="36" spans="4:12" x14ac:dyDescent="0.25">
      <c r="D36">
        <f t="shared" si="6"/>
        <v>2.5000000000000009</v>
      </c>
      <c r="E36">
        <f t="shared" si="9"/>
        <v>0.5</v>
      </c>
      <c r="F36">
        <f t="shared" si="3"/>
        <v>0.5</v>
      </c>
      <c r="G36" t="e">
        <f t="shared" si="10"/>
        <v>#REF!</v>
      </c>
      <c r="H36" t="e">
        <f>#REF!^2/(2*9.81)</f>
        <v>#REF!</v>
      </c>
      <c r="I36" t="e">
        <f>$B$10*H36/(4*#REF!)</f>
        <v>#REF!</v>
      </c>
      <c r="J36" t="e">
        <f t="shared" si="7"/>
        <v>#REF!</v>
      </c>
      <c r="K36" t="e">
        <f t="shared" si="8"/>
        <v>#VALUE!</v>
      </c>
      <c r="L36" t="e">
        <f t="shared" si="5"/>
        <v>#REF!</v>
      </c>
    </row>
    <row r="37" spans="4:12" x14ac:dyDescent="0.25">
      <c r="D37">
        <f t="shared" si="6"/>
        <v>2.600000000000001</v>
      </c>
      <c r="E37">
        <f t="shared" si="9"/>
        <v>0.5</v>
      </c>
      <c r="F37">
        <f t="shared" si="3"/>
        <v>0.5</v>
      </c>
      <c r="G37" t="e">
        <f t="shared" si="10"/>
        <v>#REF!</v>
      </c>
      <c r="H37" t="e">
        <f>#REF!^2/(2*9.81)</f>
        <v>#REF!</v>
      </c>
      <c r="I37" t="e">
        <f>$B$10*H37/(4*#REF!)</f>
        <v>#REF!</v>
      </c>
      <c r="J37" t="e">
        <f t="shared" si="7"/>
        <v>#REF!</v>
      </c>
      <c r="K37" t="e">
        <f t="shared" si="8"/>
        <v>#VALUE!</v>
      </c>
      <c r="L37" t="e">
        <f t="shared" si="5"/>
        <v>#REF!</v>
      </c>
    </row>
    <row r="38" spans="4:12" x14ac:dyDescent="0.25">
      <c r="D38">
        <f t="shared" si="6"/>
        <v>2.7000000000000011</v>
      </c>
      <c r="E38">
        <f t="shared" si="9"/>
        <v>0.5</v>
      </c>
      <c r="F38">
        <f t="shared" si="3"/>
        <v>0.5</v>
      </c>
      <c r="G38" t="e">
        <f t="shared" si="10"/>
        <v>#REF!</v>
      </c>
      <c r="H38" t="e">
        <f>#REF!^2/(2*9.81)</f>
        <v>#REF!</v>
      </c>
      <c r="I38" t="e">
        <f>$B$10*H38/(4*#REF!)</f>
        <v>#REF!</v>
      </c>
      <c r="J38" t="e">
        <f t="shared" si="7"/>
        <v>#REF!</v>
      </c>
      <c r="K38" t="e">
        <f t="shared" si="8"/>
        <v>#VALUE!</v>
      </c>
      <c r="L38" t="e">
        <f t="shared" si="5"/>
        <v>#REF!</v>
      </c>
    </row>
    <row r="39" spans="4:12" x14ac:dyDescent="0.25">
      <c r="D39">
        <f t="shared" si="6"/>
        <v>2.8000000000000012</v>
      </c>
      <c r="E39">
        <f t="shared" si="9"/>
        <v>0.5</v>
      </c>
      <c r="F39">
        <f t="shared" si="3"/>
        <v>0.5</v>
      </c>
      <c r="G39" t="e">
        <f t="shared" si="10"/>
        <v>#REF!</v>
      </c>
      <c r="H39" t="e">
        <f>#REF!^2/(2*9.81)</f>
        <v>#REF!</v>
      </c>
      <c r="I39" t="e">
        <f>$B$10*H39/(4*#REF!)</f>
        <v>#REF!</v>
      </c>
      <c r="J39" t="e">
        <f t="shared" si="7"/>
        <v>#REF!</v>
      </c>
      <c r="K39" t="e">
        <f t="shared" si="8"/>
        <v>#VALUE!</v>
      </c>
      <c r="L39" t="e">
        <f t="shared" si="5"/>
        <v>#REF!</v>
      </c>
    </row>
    <row r="40" spans="4:12" x14ac:dyDescent="0.25">
      <c r="D40">
        <f t="shared" si="6"/>
        <v>2.9000000000000012</v>
      </c>
      <c r="E40">
        <f t="shared" si="9"/>
        <v>0.5</v>
      </c>
      <c r="F40">
        <f t="shared" si="3"/>
        <v>0.5</v>
      </c>
      <c r="G40" t="e">
        <f t="shared" si="10"/>
        <v>#REF!</v>
      </c>
      <c r="H40" t="e">
        <f>#REF!^2/(2*9.81)</f>
        <v>#REF!</v>
      </c>
      <c r="I40" t="e">
        <f>$B$10*H40/(4*#REF!)</f>
        <v>#REF!</v>
      </c>
      <c r="J40" t="e">
        <f t="shared" si="7"/>
        <v>#REF!</v>
      </c>
      <c r="K40" t="e">
        <f t="shared" si="8"/>
        <v>#VALUE!</v>
      </c>
      <c r="L40" t="e">
        <f t="shared" si="5"/>
        <v>#REF!</v>
      </c>
    </row>
    <row r="41" spans="4:12" x14ac:dyDescent="0.25">
      <c r="D41">
        <f t="shared" si="6"/>
        <v>3.0000000000000013</v>
      </c>
      <c r="E41">
        <f t="shared" si="9"/>
        <v>0.5</v>
      </c>
      <c r="F41">
        <f t="shared" si="3"/>
        <v>0.5</v>
      </c>
      <c r="G41" t="e">
        <f t="shared" si="10"/>
        <v>#REF!</v>
      </c>
      <c r="H41" t="e">
        <f>#REF!^2/(2*9.81)</f>
        <v>#REF!</v>
      </c>
      <c r="I41" t="e">
        <f>$B$10*H41/(4*#REF!)</f>
        <v>#REF!</v>
      </c>
      <c r="J41" t="e">
        <f t="shared" si="7"/>
        <v>#REF!</v>
      </c>
      <c r="K41" t="e">
        <f t="shared" si="8"/>
        <v>#VALUE!</v>
      </c>
      <c r="L41" t="e">
        <f t="shared" si="5"/>
        <v>#REF!</v>
      </c>
    </row>
    <row r="42" spans="4:12" x14ac:dyDescent="0.25">
      <c r="D42">
        <f t="shared" si="6"/>
        <v>3.1000000000000014</v>
      </c>
      <c r="E42">
        <f t="shared" si="9"/>
        <v>0.5</v>
      </c>
      <c r="F42">
        <f t="shared" si="3"/>
        <v>0.5</v>
      </c>
      <c r="G42" t="e">
        <f t="shared" si="10"/>
        <v>#REF!</v>
      </c>
      <c r="H42" t="e">
        <f>#REF!^2/(2*9.81)</f>
        <v>#REF!</v>
      </c>
      <c r="I42" t="e">
        <f>$B$10*H42/(4*#REF!)</f>
        <v>#REF!</v>
      </c>
      <c r="J42" t="e">
        <f t="shared" si="7"/>
        <v>#REF!</v>
      </c>
      <c r="K42" t="e">
        <f t="shared" si="8"/>
        <v>#VALUE!</v>
      </c>
      <c r="L42" t="e">
        <f t="shared" si="5"/>
        <v>#REF!</v>
      </c>
    </row>
    <row r="43" spans="4:12" x14ac:dyDescent="0.25">
      <c r="D43">
        <f t="shared" si="6"/>
        <v>3.2000000000000015</v>
      </c>
      <c r="E43">
        <f t="shared" si="9"/>
        <v>0.5</v>
      </c>
      <c r="F43">
        <f t="shared" si="3"/>
        <v>0.5</v>
      </c>
      <c r="G43" t="e">
        <f t="shared" si="10"/>
        <v>#REF!</v>
      </c>
      <c r="H43" t="e">
        <f>#REF!^2/(2*9.81)</f>
        <v>#REF!</v>
      </c>
      <c r="I43" t="e">
        <f>$B$10*H43/(4*#REF!)</f>
        <v>#REF!</v>
      </c>
      <c r="J43" t="e">
        <f t="shared" si="7"/>
        <v>#REF!</v>
      </c>
      <c r="K43" t="e">
        <f t="shared" si="8"/>
        <v>#VALUE!</v>
      </c>
      <c r="L43" t="e">
        <f t="shared" si="5"/>
        <v>#REF!</v>
      </c>
    </row>
    <row r="44" spans="4:12" x14ac:dyDescent="0.25">
      <c r="D44">
        <f t="shared" si="6"/>
        <v>3.3000000000000016</v>
      </c>
      <c r="E44">
        <f t="shared" si="9"/>
        <v>0.5</v>
      </c>
      <c r="F44">
        <f t="shared" si="3"/>
        <v>0.5</v>
      </c>
      <c r="G44" t="e">
        <f t="shared" si="10"/>
        <v>#REF!</v>
      </c>
      <c r="H44" t="e">
        <f>#REF!^2/(2*9.81)</f>
        <v>#REF!</v>
      </c>
      <c r="I44" t="e">
        <f>$B$10*H44/(4*#REF!)</f>
        <v>#REF!</v>
      </c>
      <c r="J44" t="e">
        <f t="shared" si="7"/>
        <v>#REF!</v>
      </c>
      <c r="K44" t="e">
        <f t="shared" si="8"/>
        <v>#VALUE!</v>
      </c>
      <c r="L44" t="e">
        <f t="shared" si="5"/>
        <v>#REF!</v>
      </c>
    </row>
    <row r="45" spans="4:12" x14ac:dyDescent="0.25">
      <c r="D45">
        <f t="shared" si="6"/>
        <v>3.4000000000000017</v>
      </c>
      <c r="E45">
        <f t="shared" si="9"/>
        <v>0.5</v>
      </c>
      <c r="F45">
        <f t="shared" si="3"/>
        <v>0.5</v>
      </c>
      <c r="G45" t="e">
        <f t="shared" si="10"/>
        <v>#REF!</v>
      </c>
      <c r="H45" t="e">
        <f>#REF!^2/(2*9.81)</f>
        <v>#REF!</v>
      </c>
      <c r="I45" t="e">
        <f>$B$10*H45/(4*#REF!)</f>
        <v>#REF!</v>
      </c>
      <c r="J45" t="e">
        <f t="shared" si="7"/>
        <v>#REF!</v>
      </c>
      <c r="K45" t="e">
        <f t="shared" si="8"/>
        <v>#VALUE!</v>
      </c>
      <c r="L45" t="e">
        <f t="shared" si="5"/>
        <v>#REF!</v>
      </c>
    </row>
    <row r="46" spans="4:12" x14ac:dyDescent="0.25">
      <c r="D46">
        <f t="shared" si="6"/>
        <v>3.5000000000000018</v>
      </c>
      <c r="E46">
        <f t="shared" si="9"/>
        <v>0.5</v>
      </c>
      <c r="F46">
        <f t="shared" si="3"/>
        <v>0.5</v>
      </c>
      <c r="G46" t="e">
        <f t="shared" si="10"/>
        <v>#REF!</v>
      </c>
      <c r="H46" t="e">
        <f>#REF!^2/(2*9.81)</f>
        <v>#REF!</v>
      </c>
      <c r="I46" t="e">
        <f>$B$10*H46/(4*#REF!)</f>
        <v>#REF!</v>
      </c>
      <c r="J46" t="e">
        <f t="shared" si="7"/>
        <v>#REF!</v>
      </c>
      <c r="K46" t="e">
        <f t="shared" si="8"/>
        <v>#VALUE!</v>
      </c>
      <c r="L46" t="e">
        <f t="shared" si="5"/>
        <v>#REF!</v>
      </c>
    </row>
    <row r="47" spans="4:12" x14ac:dyDescent="0.25">
      <c r="D47">
        <f t="shared" si="6"/>
        <v>3.6000000000000019</v>
      </c>
      <c r="E47">
        <f t="shared" si="9"/>
        <v>0.5</v>
      </c>
      <c r="F47">
        <f t="shared" si="3"/>
        <v>0.5</v>
      </c>
      <c r="G47" t="e">
        <f t="shared" si="10"/>
        <v>#REF!</v>
      </c>
      <c r="H47" t="e">
        <f>#REF!^2/(2*9.81)</f>
        <v>#REF!</v>
      </c>
      <c r="I47" t="e">
        <f>$B$10*H47/(4*#REF!)</f>
        <v>#REF!</v>
      </c>
      <c r="J47" t="e">
        <f t="shared" si="7"/>
        <v>#REF!</v>
      </c>
      <c r="K47" t="e">
        <f t="shared" si="8"/>
        <v>#VALUE!</v>
      </c>
      <c r="L47" t="e">
        <f t="shared" si="5"/>
        <v>#REF!</v>
      </c>
    </row>
    <row r="48" spans="4:12" x14ac:dyDescent="0.25">
      <c r="D48">
        <f t="shared" si="6"/>
        <v>3.700000000000002</v>
      </c>
      <c r="E48">
        <f t="shared" si="9"/>
        <v>0.5</v>
      </c>
      <c r="F48">
        <f t="shared" si="3"/>
        <v>0.5</v>
      </c>
      <c r="G48" t="e">
        <f t="shared" si="10"/>
        <v>#REF!</v>
      </c>
      <c r="H48" t="e">
        <f>#REF!^2/(2*9.81)</f>
        <v>#REF!</v>
      </c>
      <c r="I48" t="e">
        <f>$B$10*H48/(4*#REF!)</f>
        <v>#REF!</v>
      </c>
      <c r="J48" t="e">
        <f t="shared" si="7"/>
        <v>#REF!</v>
      </c>
      <c r="K48" t="e">
        <f t="shared" si="8"/>
        <v>#VALUE!</v>
      </c>
      <c r="L48" t="e">
        <f t="shared" si="5"/>
        <v>#REF!</v>
      </c>
    </row>
    <row r="49" spans="4:12" x14ac:dyDescent="0.25">
      <c r="D49">
        <f t="shared" si="6"/>
        <v>3.800000000000002</v>
      </c>
      <c r="E49">
        <f t="shared" si="9"/>
        <v>0.5</v>
      </c>
      <c r="F49">
        <f t="shared" si="3"/>
        <v>0.5</v>
      </c>
      <c r="G49" t="e">
        <f t="shared" si="10"/>
        <v>#REF!</v>
      </c>
      <c r="H49" t="e">
        <f>#REF!^2/(2*9.81)</f>
        <v>#REF!</v>
      </c>
      <c r="I49" t="e">
        <f>$B$10*H49/(4*#REF!)</f>
        <v>#REF!</v>
      </c>
      <c r="J49" t="e">
        <f t="shared" si="7"/>
        <v>#REF!</v>
      </c>
      <c r="K49" t="e">
        <f t="shared" si="8"/>
        <v>#VALUE!</v>
      </c>
      <c r="L49" t="e">
        <f t="shared" si="5"/>
        <v>#REF!</v>
      </c>
    </row>
    <row r="50" spans="4:12" x14ac:dyDescent="0.25">
      <c r="D50">
        <f t="shared" si="6"/>
        <v>3.9000000000000021</v>
      </c>
      <c r="E50">
        <f t="shared" si="9"/>
        <v>0.5</v>
      </c>
      <c r="F50">
        <f t="shared" si="3"/>
        <v>0.5</v>
      </c>
      <c r="G50" t="e">
        <f t="shared" si="10"/>
        <v>#REF!</v>
      </c>
      <c r="H50" t="e">
        <f>#REF!^2/(2*9.81)</f>
        <v>#REF!</v>
      </c>
      <c r="I50" t="e">
        <f>$B$10*H50/(4*#REF!)</f>
        <v>#REF!</v>
      </c>
      <c r="J50" t="e">
        <f t="shared" si="7"/>
        <v>#REF!</v>
      </c>
      <c r="K50" t="e">
        <f t="shared" si="8"/>
        <v>#VALUE!</v>
      </c>
      <c r="L50" t="e">
        <f t="shared" si="5"/>
        <v>#REF!</v>
      </c>
    </row>
    <row r="51" spans="4:12" x14ac:dyDescent="0.25">
      <c r="D51">
        <f t="shared" si="6"/>
        <v>4.0000000000000018</v>
      </c>
      <c r="E51">
        <f t="shared" si="9"/>
        <v>0.5</v>
      </c>
      <c r="F51">
        <f t="shared" si="3"/>
        <v>0.5</v>
      </c>
      <c r="G51" t="e">
        <f t="shared" si="10"/>
        <v>#REF!</v>
      </c>
      <c r="H51" t="e">
        <f>#REF!^2/(2*9.81)</f>
        <v>#REF!</v>
      </c>
      <c r="I51" t="e">
        <f>$B$10*H51/(4*#REF!)</f>
        <v>#REF!</v>
      </c>
      <c r="J51" t="e">
        <f t="shared" si="7"/>
        <v>#REF!</v>
      </c>
      <c r="K51" t="e">
        <f t="shared" si="8"/>
        <v>#VALUE!</v>
      </c>
      <c r="L51" t="e">
        <f t="shared" si="5"/>
        <v>#REF!</v>
      </c>
    </row>
    <row r="52" spans="4:12" x14ac:dyDescent="0.25">
      <c r="D52">
        <f t="shared" si="6"/>
        <v>4.1000000000000014</v>
      </c>
      <c r="E52">
        <f t="shared" si="9"/>
        <v>0.5</v>
      </c>
      <c r="F52">
        <f t="shared" si="3"/>
        <v>0.5</v>
      </c>
      <c r="G52" t="e">
        <f t="shared" si="10"/>
        <v>#REF!</v>
      </c>
      <c r="H52" t="e">
        <f>#REF!^2/(2*9.81)</f>
        <v>#REF!</v>
      </c>
      <c r="I52" t="e">
        <f>$B$10*H52/(4*#REF!)</f>
        <v>#REF!</v>
      </c>
      <c r="J52" t="e">
        <f t="shared" si="7"/>
        <v>#REF!</v>
      </c>
      <c r="K52" t="e">
        <f t="shared" si="8"/>
        <v>#VALUE!</v>
      </c>
      <c r="L52" t="e">
        <f t="shared" si="5"/>
        <v>#REF!</v>
      </c>
    </row>
    <row r="53" spans="4:12" x14ac:dyDescent="0.25">
      <c r="D53">
        <f t="shared" si="6"/>
        <v>4.2000000000000011</v>
      </c>
      <c r="E53">
        <f t="shared" si="9"/>
        <v>0.5</v>
      </c>
      <c r="F53">
        <f t="shared" si="3"/>
        <v>0.5</v>
      </c>
      <c r="G53" t="e">
        <f t="shared" si="10"/>
        <v>#REF!</v>
      </c>
      <c r="H53" t="e">
        <f>#REF!^2/(2*9.81)</f>
        <v>#REF!</v>
      </c>
      <c r="I53" t="e">
        <f>$B$10*H53/(4*#REF!)</f>
        <v>#REF!</v>
      </c>
      <c r="J53" t="e">
        <f t="shared" si="7"/>
        <v>#REF!</v>
      </c>
      <c r="K53" t="e">
        <f t="shared" si="8"/>
        <v>#VALUE!</v>
      </c>
      <c r="L53" t="e">
        <f t="shared" si="5"/>
        <v>#REF!</v>
      </c>
    </row>
    <row r="54" spans="4:12" x14ac:dyDescent="0.25">
      <c r="D54">
        <f t="shared" si="6"/>
        <v>4.3000000000000007</v>
      </c>
      <c r="E54">
        <f t="shared" si="9"/>
        <v>0.5</v>
      </c>
      <c r="F54">
        <f t="shared" si="3"/>
        <v>0.5</v>
      </c>
      <c r="G54" t="e">
        <f t="shared" si="10"/>
        <v>#REF!</v>
      </c>
      <c r="H54" t="e">
        <f>#REF!^2/(2*9.81)</f>
        <v>#REF!</v>
      </c>
      <c r="I54" t="e">
        <f>$B$10*H54/(4*#REF!)</f>
        <v>#REF!</v>
      </c>
      <c r="J54" t="e">
        <f t="shared" si="7"/>
        <v>#REF!</v>
      </c>
      <c r="K54" t="e">
        <f t="shared" si="8"/>
        <v>#VALUE!</v>
      </c>
      <c r="L54" t="e">
        <f t="shared" si="5"/>
        <v>#REF!</v>
      </c>
    </row>
    <row r="55" spans="4:12" x14ac:dyDescent="0.25">
      <c r="D55">
        <f t="shared" si="6"/>
        <v>4.4000000000000004</v>
      </c>
      <c r="E55">
        <f t="shared" si="9"/>
        <v>0.5</v>
      </c>
      <c r="F55">
        <f t="shared" si="3"/>
        <v>0.5</v>
      </c>
      <c r="G55" t="e">
        <f t="shared" si="10"/>
        <v>#REF!</v>
      </c>
      <c r="H55" t="e">
        <f>#REF!^2/(2*9.81)</f>
        <v>#REF!</v>
      </c>
      <c r="I55" t="e">
        <f>$B$10*H55/(4*#REF!)</f>
        <v>#REF!</v>
      </c>
      <c r="J55" t="e">
        <f t="shared" si="7"/>
        <v>#REF!</v>
      </c>
      <c r="K55" t="e">
        <f t="shared" si="8"/>
        <v>#VALUE!</v>
      </c>
      <c r="L55" t="e">
        <f t="shared" si="5"/>
        <v>#REF!</v>
      </c>
    </row>
    <row r="56" spans="4:12" x14ac:dyDescent="0.25">
      <c r="D56">
        <f t="shared" si="6"/>
        <v>4.5</v>
      </c>
      <c r="E56">
        <f t="shared" si="9"/>
        <v>0.5</v>
      </c>
      <c r="F56">
        <f t="shared" si="3"/>
        <v>0.5</v>
      </c>
      <c r="G56" t="e">
        <f t="shared" si="10"/>
        <v>#REF!</v>
      </c>
      <c r="H56" t="e">
        <f>#REF!^2/(2*9.81)</f>
        <v>#REF!</v>
      </c>
      <c r="I56" t="e">
        <f>$B$10*H56/(4*#REF!)</f>
        <v>#REF!</v>
      </c>
      <c r="J56" t="e">
        <f t="shared" si="7"/>
        <v>#REF!</v>
      </c>
      <c r="K56" t="e">
        <f t="shared" si="8"/>
        <v>#VALUE!</v>
      </c>
      <c r="L56" t="e">
        <f t="shared" si="5"/>
        <v>#REF!</v>
      </c>
    </row>
    <row r="57" spans="4:12" x14ac:dyDescent="0.25">
      <c r="D57">
        <f t="shared" si="6"/>
        <v>4.5999999999999996</v>
      </c>
      <c r="E57">
        <f t="shared" si="9"/>
        <v>0.5</v>
      </c>
      <c r="F57">
        <f t="shared" si="3"/>
        <v>0.5</v>
      </c>
      <c r="G57" t="e">
        <f t="shared" si="10"/>
        <v>#REF!</v>
      </c>
      <c r="H57" t="e">
        <f>#REF!^2/(2*9.81)</f>
        <v>#REF!</v>
      </c>
      <c r="I57" t="e">
        <f>$B$10*H57/(4*#REF!)</f>
        <v>#REF!</v>
      </c>
      <c r="J57" t="e">
        <f t="shared" si="7"/>
        <v>#REF!</v>
      </c>
      <c r="K57" t="e">
        <f t="shared" si="8"/>
        <v>#VALUE!</v>
      </c>
      <c r="L57" t="e">
        <f t="shared" si="5"/>
        <v>#REF!</v>
      </c>
    </row>
    <row r="58" spans="4:12" x14ac:dyDescent="0.25">
      <c r="D58">
        <f t="shared" si="6"/>
        <v>4.6999999999999993</v>
      </c>
      <c r="E58">
        <f t="shared" si="9"/>
        <v>0.5</v>
      </c>
      <c r="F58">
        <f t="shared" si="3"/>
        <v>0.5</v>
      </c>
      <c r="G58" t="e">
        <f t="shared" si="10"/>
        <v>#REF!</v>
      </c>
      <c r="H58" t="e">
        <f>#REF!^2/(2*9.81)</f>
        <v>#REF!</v>
      </c>
      <c r="I58" t="e">
        <f>$B$10*H58/(4*#REF!)</f>
        <v>#REF!</v>
      </c>
      <c r="J58" t="e">
        <f t="shared" si="7"/>
        <v>#REF!</v>
      </c>
      <c r="K58" t="e">
        <f t="shared" si="8"/>
        <v>#VALUE!</v>
      </c>
      <c r="L58" t="e">
        <f t="shared" si="5"/>
        <v>#REF!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44"/>
  <sheetViews>
    <sheetView topLeftCell="A7" workbookViewId="0">
      <selection activeCell="G26" sqref="G26"/>
    </sheetView>
  </sheetViews>
  <sheetFormatPr defaultRowHeight="13.2" x14ac:dyDescent="0.25"/>
  <cols>
    <col min="1" max="1" width="9.88671875" customWidth="1"/>
    <col min="5" max="5" width="9.109375" style="9" customWidth="1"/>
    <col min="6" max="6" width="10.44140625" customWidth="1"/>
    <col min="7" max="7" width="12" customWidth="1"/>
    <col min="9" max="9" width="11.88671875" style="22" customWidth="1"/>
    <col min="10" max="10" width="9.109375" style="22" customWidth="1"/>
    <col min="13" max="13" width="10" bestFit="1" customWidth="1"/>
    <col min="28" max="28" width="12.44140625" customWidth="1"/>
  </cols>
  <sheetData>
    <row r="1" spans="1:28" x14ac:dyDescent="0.25">
      <c r="A1" t="s">
        <v>36</v>
      </c>
    </row>
    <row r="2" spans="1:28" x14ac:dyDescent="0.25">
      <c r="A2" t="s">
        <v>37</v>
      </c>
      <c r="K2" s="14" t="s">
        <v>59</v>
      </c>
      <c r="L2">
        <v>1.5</v>
      </c>
    </row>
    <row r="3" spans="1:28" x14ac:dyDescent="0.25">
      <c r="H3" t="s">
        <v>26</v>
      </c>
    </row>
    <row r="5" spans="1:28" x14ac:dyDescent="0.25">
      <c r="A5" s="26" t="s">
        <v>58</v>
      </c>
      <c r="B5" s="3">
        <v>3</v>
      </c>
      <c r="C5" s="10" t="s">
        <v>6</v>
      </c>
      <c r="D5" s="12" t="s">
        <v>19</v>
      </c>
      <c r="E5" s="9" t="s">
        <v>21</v>
      </c>
      <c r="F5" s="14" t="s">
        <v>132</v>
      </c>
      <c r="G5" s="14" t="s">
        <v>131</v>
      </c>
      <c r="I5" s="23" t="s">
        <v>48</v>
      </c>
      <c r="K5" s="25"/>
      <c r="L5" t="s">
        <v>9</v>
      </c>
      <c r="M5" s="24"/>
      <c r="T5" s="35" t="s">
        <v>78</v>
      </c>
      <c r="U5" s="31">
        <v>3</v>
      </c>
      <c r="V5" t="s">
        <v>6</v>
      </c>
      <c r="W5" t="s">
        <v>19</v>
      </c>
      <c r="X5" t="s">
        <v>21</v>
      </c>
      <c r="Y5" t="s">
        <v>5</v>
      </c>
      <c r="Z5" t="s">
        <v>9</v>
      </c>
      <c r="AB5" t="s">
        <v>48</v>
      </c>
    </row>
    <row r="6" spans="1:28" x14ac:dyDescent="0.25">
      <c r="C6" s="11">
        <v>0.1</v>
      </c>
      <c r="D6" s="10">
        <f>$B$5</f>
        <v>3</v>
      </c>
      <c r="E6" s="9">
        <f>C6*D6</f>
        <v>0.30000000000000004</v>
      </c>
      <c r="F6" s="10">
        <f>$B$8-C6</f>
        <v>1.9</v>
      </c>
      <c r="G6" s="10">
        <f>SQRT(F6*2*9.81)</f>
        <v>6.1055712263472941</v>
      </c>
      <c r="I6" s="23">
        <f>G6*E6</f>
        <v>1.8316713679041885</v>
      </c>
      <c r="K6" s="8">
        <f t="shared" ref="K6:K44" si="0">$B$8/E6</f>
        <v>6.6666666666666661</v>
      </c>
      <c r="L6">
        <f t="shared" ref="L6:L44" si="1">$B$8*$L$2/E6</f>
        <v>9.9999999999999982</v>
      </c>
      <c r="M6" s="23">
        <f t="shared" ref="M6:M44" si="2">C6+L6^2/(2*9.81)</f>
        <v>5.1968399592252785</v>
      </c>
      <c r="V6" s="11">
        <v>0.1</v>
      </c>
      <c r="W6" s="10">
        <f>$B$5</f>
        <v>3</v>
      </c>
      <c r="X6" s="9">
        <f>V6*W6</f>
        <v>0.30000000000000004</v>
      </c>
      <c r="Y6" s="10">
        <f>$U$8-V6</f>
        <v>0.9</v>
      </c>
      <c r="Z6" s="10">
        <f>SQRT(Y6*2*9.81)</f>
        <v>4.2021423107743505</v>
      </c>
      <c r="AB6" s="54">
        <f>Z6*X6</f>
        <v>1.2606426932323054</v>
      </c>
    </row>
    <row r="7" spans="1:28" x14ac:dyDescent="0.25">
      <c r="C7" s="10">
        <f>C6+$B$14</f>
        <v>0.2</v>
      </c>
      <c r="D7" s="10">
        <f t="shared" ref="D7:D44" si="3">$B$5</f>
        <v>3</v>
      </c>
      <c r="E7" s="9">
        <f t="shared" ref="E7:E26" si="4">C7*D7</f>
        <v>0.60000000000000009</v>
      </c>
      <c r="F7" s="10">
        <f t="shared" ref="F7:F42" si="5">$B$8-C7</f>
        <v>1.8</v>
      </c>
      <c r="G7" s="10">
        <f t="shared" ref="G7:G44" si="6">SQRT(F7*2*9.81)</f>
        <v>5.9427266469189046</v>
      </c>
      <c r="I7" s="23">
        <f t="shared" ref="I7:I42" si="7">G7*E7</f>
        <v>3.5656359881513433</v>
      </c>
      <c r="K7" s="8">
        <f t="shared" si="0"/>
        <v>3.333333333333333</v>
      </c>
      <c r="L7">
        <f t="shared" si="1"/>
        <v>4.9999999999999991</v>
      </c>
      <c r="M7" s="23">
        <f t="shared" si="2"/>
        <v>1.4742099898063197</v>
      </c>
      <c r="V7" s="10">
        <f>V6+$B$14</f>
        <v>0.2</v>
      </c>
      <c r="W7" s="10">
        <f t="shared" ref="W7:W19" si="8">$B$5</f>
        <v>3</v>
      </c>
      <c r="X7" s="9">
        <f>V7*W7</f>
        <v>0.60000000000000009</v>
      </c>
      <c r="Y7" s="10">
        <f>$U$8-V7</f>
        <v>0.8</v>
      </c>
      <c r="Z7" s="10">
        <f>SQRT(Y7*2*9.81)</f>
        <v>3.9618177646126029</v>
      </c>
      <c r="AB7" s="54">
        <f>Z7*X7</f>
        <v>2.3770906587675622</v>
      </c>
    </row>
    <row r="8" spans="1:28" x14ac:dyDescent="0.25">
      <c r="A8" s="26" t="s">
        <v>60</v>
      </c>
      <c r="B8" s="3">
        <v>2</v>
      </c>
      <c r="C8" s="10">
        <f t="shared" ref="C8:C26" si="9">C7+$B$14</f>
        <v>0.30000000000000004</v>
      </c>
      <c r="D8" s="10">
        <f t="shared" si="3"/>
        <v>3</v>
      </c>
      <c r="E8" s="9">
        <f t="shared" si="4"/>
        <v>0.90000000000000013</v>
      </c>
      <c r="F8" s="10">
        <f t="shared" si="5"/>
        <v>1.7</v>
      </c>
      <c r="G8" s="10">
        <f t="shared" si="6"/>
        <v>5.7752922003999068</v>
      </c>
      <c r="I8" s="23">
        <f t="shared" si="7"/>
        <v>5.1977629803599168</v>
      </c>
      <c r="K8" s="8">
        <f t="shared" si="0"/>
        <v>2.2222222222222219</v>
      </c>
      <c r="L8">
        <f t="shared" si="1"/>
        <v>3.333333333333333</v>
      </c>
      <c r="M8" s="23">
        <f t="shared" si="2"/>
        <v>0.86631555102503111</v>
      </c>
      <c r="T8" s="26" t="s">
        <v>60</v>
      </c>
      <c r="U8" s="44">
        <v>1</v>
      </c>
      <c r="V8" s="10">
        <f t="shared" ref="V8:V13" si="10">V7+$B$14</f>
        <v>0.30000000000000004</v>
      </c>
      <c r="W8" s="10">
        <f t="shared" si="8"/>
        <v>3</v>
      </c>
      <c r="X8" s="9">
        <f t="shared" ref="X8:X13" si="11">V8*W8</f>
        <v>0.90000000000000013</v>
      </c>
      <c r="Y8" s="10">
        <f t="shared" ref="Y8:Y13" si="12">$U$8-V8</f>
        <v>0.7</v>
      </c>
      <c r="Z8" s="10">
        <f t="shared" ref="Z8:Z13" si="13">SQRT(Y8*2*9.81)</f>
        <v>3.7059411760037424</v>
      </c>
      <c r="AB8" s="54">
        <f t="shared" ref="AB8:AB13" si="14">Z8*X8</f>
        <v>3.3353470584033689</v>
      </c>
    </row>
    <row r="9" spans="1:28" x14ac:dyDescent="0.25">
      <c r="C9" s="10">
        <f t="shared" si="9"/>
        <v>0.4</v>
      </c>
      <c r="D9" s="10">
        <f t="shared" si="3"/>
        <v>3</v>
      </c>
      <c r="E9" s="9">
        <f t="shared" si="4"/>
        <v>1.2000000000000002</v>
      </c>
      <c r="F9" s="10">
        <f t="shared" si="5"/>
        <v>1.6</v>
      </c>
      <c r="G9" s="10">
        <f t="shared" si="6"/>
        <v>5.6028564143658013</v>
      </c>
      <c r="I9" s="23">
        <f t="shared" si="7"/>
        <v>6.7234276972389626</v>
      </c>
      <c r="K9" s="8">
        <f t="shared" si="0"/>
        <v>1.6666666666666665</v>
      </c>
      <c r="L9">
        <f t="shared" si="1"/>
        <v>2.4999999999999996</v>
      </c>
      <c r="M9" s="23">
        <f t="shared" si="2"/>
        <v>0.71855249745158001</v>
      </c>
      <c r="V9" s="10">
        <f t="shared" si="10"/>
        <v>0.4</v>
      </c>
      <c r="W9" s="10">
        <f t="shared" si="8"/>
        <v>3</v>
      </c>
      <c r="X9" s="9">
        <f t="shared" si="11"/>
        <v>1.2000000000000002</v>
      </c>
      <c r="Y9" s="10">
        <f t="shared" si="12"/>
        <v>0.6</v>
      </c>
      <c r="Z9" s="10">
        <f t="shared" si="13"/>
        <v>3.4310348293189912</v>
      </c>
      <c r="AB9" s="54">
        <f t="shared" si="14"/>
        <v>4.1172417951827898</v>
      </c>
    </row>
    <row r="10" spans="1:28" x14ac:dyDescent="0.25">
      <c r="C10" s="10">
        <f t="shared" si="9"/>
        <v>0.5</v>
      </c>
      <c r="D10" s="10">
        <f t="shared" si="3"/>
        <v>3</v>
      </c>
      <c r="E10" s="9">
        <f t="shared" si="4"/>
        <v>1.5</v>
      </c>
      <c r="F10" s="10">
        <f t="shared" si="5"/>
        <v>1.5</v>
      </c>
      <c r="G10" s="10">
        <f t="shared" si="6"/>
        <v>5.4249423960075376</v>
      </c>
      <c r="I10" s="23">
        <f t="shared" si="7"/>
        <v>8.1374135940113064</v>
      </c>
      <c r="K10" s="8">
        <f t="shared" si="0"/>
        <v>1.3333333333333333</v>
      </c>
      <c r="L10">
        <f t="shared" si="1"/>
        <v>2</v>
      </c>
      <c r="M10" s="23">
        <f t="shared" si="2"/>
        <v>0.7038735983690112</v>
      </c>
      <c r="V10" s="10">
        <f t="shared" si="10"/>
        <v>0.5</v>
      </c>
      <c r="W10" s="10">
        <f t="shared" si="8"/>
        <v>3</v>
      </c>
      <c r="X10" s="9">
        <f t="shared" si="11"/>
        <v>1.5</v>
      </c>
      <c r="Y10" s="10">
        <f t="shared" si="12"/>
        <v>0.5</v>
      </c>
      <c r="Z10" s="10">
        <f t="shared" si="13"/>
        <v>3.1320919526731652</v>
      </c>
      <c r="AB10" s="54">
        <f t="shared" si="14"/>
        <v>4.6981379290097482</v>
      </c>
    </row>
    <row r="11" spans="1:28" x14ac:dyDescent="0.25">
      <c r="C11" s="10">
        <f t="shared" si="9"/>
        <v>0.6</v>
      </c>
      <c r="D11" s="10">
        <f t="shared" si="3"/>
        <v>3</v>
      </c>
      <c r="E11" s="9">
        <f t="shared" si="4"/>
        <v>1.7999999999999998</v>
      </c>
      <c r="F11" s="10">
        <f t="shared" si="5"/>
        <v>1.4</v>
      </c>
      <c r="G11" s="10">
        <f t="shared" si="6"/>
        <v>5.2409922724613898</v>
      </c>
      <c r="I11" s="23">
        <f t="shared" si="7"/>
        <v>9.4337860904305</v>
      </c>
      <c r="K11" s="8">
        <f t="shared" si="0"/>
        <v>1.1111111111111112</v>
      </c>
      <c r="L11">
        <f t="shared" si="1"/>
        <v>1.6666666666666667</v>
      </c>
      <c r="M11" s="23">
        <f t="shared" si="2"/>
        <v>0.7415788877562578</v>
      </c>
      <c r="V11" s="10">
        <f t="shared" si="10"/>
        <v>0.6</v>
      </c>
      <c r="W11" s="10">
        <f t="shared" si="8"/>
        <v>3</v>
      </c>
      <c r="X11" s="9">
        <f t="shared" si="11"/>
        <v>1.7999999999999998</v>
      </c>
      <c r="Y11" s="10">
        <f t="shared" si="12"/>
        <v>0.4</v>
      </c>
      <c r="Z11" s="10">
        <f t="shared" si="13"/>
        <v>2.8014282071829006</v>
      </c>
      <c r="AB11" s="54">
        <f t="shared" si="14"/>
        <v>5.0425707729292206</v>
      </c>
    </row>
    <row r="12" spans="1:28" x14ac:dyDescent="0.25">
      <c r="C12" s="10">
        <f t="shared" si="9"/>
        <v>0.7</v>
      </c>
      <c r="D12" s="10">
        <f t="shared" si="3"/>
        <v>3</v>
      </c>
      <c r="E12" s="9">
        <f t="shared" si="4"/>
        <v>2.0999999999999996</v>
      </c>
      <c r="F12" s="10">
        <f t="shared" si="5"/>
        <v>1.3</v>
      </c>
      <c r="G12" s="10">
        <f t="shared" si="6"/>
        <v>5.0503465227645519</v>
      </c>
      <c r="I12" s="23">
        <f t="shared" si="7"/>
        <v>10.605727697805557</v>
      </c>
      <c r="K12" s="8">
        <f t="shared" si="0"/>
        <v>0.95238095238095255</v>
      </c>
      <c r="L12">
        <f t="shared" si="1"/>
        <v>1.4285714285714288</v>
      </c>
      <c r="M12" s="23">
        <f t="shared" si="2"/>
        <v>0.80401714202500574</v>
      </c>
      <c r="U12" s="52" t="s">
        <v>48</v>
      </c>
      <c r="V12" s="10">
        <f t="shared" si="10"/>
        <v>0.7</v>
      </c>
      <c r="W12" s="10">
        <f t="shared" si="8"/>
        <v>3</v>
      </c>
      <c r="X12" s="9">
        <f t="shared" si="11"/>
        <v>2.0999999999999996</v>
      </c>
      <c r="Y12" s="10">
        <f t="shared" si="12"/>
        <v>0.30000000000000004</v>
      </c>
      <c r="Z12" s="10">
        <f t="shared" si="13"/>
        <v>2.4261079942986878</v>
      </c>
      <c r="AB12" s="54">
        <f t="shared" si="14"/>
        <v>5.0948267880272438</v>
      </c>
    </row>
    <row r="13" spans="1:28" x14ac:dyDescent="0.25">
      <c r="B13" s="1"/>
      <c r="C13" s="10">
        <f t="shared" si="9"/>
        <v>0.79999999999999993</v>
      </c>
      <c r="D13" s="10">
        <f t="shared" si="3"/>
        <v>3</v>
      </c>
      <c r="E13" s="9">
        <f t="shared" si="4"/>
        <v>2.4</v>
      </c>
      <c r="F13" s="10">
        <f t="shared" si="5"/>
        <v>1.2000000000000002</v>
      </c>
      <c r="G13" s="10">
        <f t="shared" si="6"/>
        <v>4.8522159885973757</v>
      </c>
      <c r="I13" s="23">
        <f t="shared" si="7"/>
        <v>11.645318372633701</v>
      </c>
      <c r="K13" s="8">
        <f t="shared" si="0"/>
        <v>0.83333333333333337</v>
      </c>
      <c r="L13">
        <f t="shared" si="1"/>
        <v>1.25</v>
      </c>
      <c r="M13" s="23">
        <f t="shared" si="2"/>
        <v>0.8796381243628949</v>
      </c>
      <c r="S13" s="52" t="s">
        <v>41</v>
      </c>
      <c r="T13" s="52">
        <f>($U$13^2/3^2/9.81)^(1/3)</f>
        <v>0.65666342968213542</v>
      </c>
      <c r="U13" s="52">
        <v>5</v>
      </c>
      <c r="V13" s="10">
        <f t="shared" si="10"/>
        <v>0.79999999999999993</v>
      </c>
      <c r="W13" s="10">
        <f t="shared" si="8"/>
        <v>3</v>
      </c>
      <c r="X13" s="9">
        <f t="shared" si="11"/>
        <v>2.4</v>
      </c>
      <c r="Y13" s="10">
        <f t="shared" si="12"/>
        <v>0.20000000000000007</v>
      </c>
      <c r="Z13" s="10">
        <f t="shared" si="13"/>
        <v>1.9809088823063017</v>
      </c>
      <c r="AB13" s="54">
        <f t="shared" si="14"/>
        <v>4.7541813175351235</v>
      </c>
    </row>
    <row r="14" spans="1:28" x14ac:dyDescent="0.25">
      <c r="A14" s="4" t="s">
        <v>20</v>
      </c>
      <c r="B14" s="1">
        <v>0.1</v>
      </c>
      <c r="C14" s="10">
        <f t="shared" si="9"/>
        <v>0.89999999999999991</v>
      </c>
      <c r="D14" s="10">
        <f t="shared" si="3"/>
        <v>3</v>
      </c>
      <c r="E14" s="9">
        <f t="shared" si="4"/>
        <v>2.6999999999999997</v>
      </c>
      <c r="F14" s="10">
        <f t="shared" si="5"/>
        <v>1.1000000000000001</v>
      </c>
      <c r="G14" s="10">
        <f t="shared" si="6"/>
        <v>4.6456431201718456</v>
      </c>
      <c r="I14" s="23">
        <f t="shared" si="7"/>
        <v>12.543236424463982</v>
      </c>
      <c r="K14" s="8">
        <f t="shared" si="0"/>
        <v>0.74074074074074081</v>
      </c>
      <c r="L14">
        <f t="shared" si="1"/>
        <v>1.1111111111111112</v>
      </c>
      <c r="M14" s="23">
        <f t="shared" si="2"/>
        <v>0.96292395011389231</v>
      </c>
      <c r="V14" s="10">
        <f t="shared" ref="V14:V19" si="15">V13+$B$14</f>
        <v>0.89999999999999991</v>
      </c>
      <c r="W14" s="10">
        <f t="shared" si="8"/>
        <v>3</v>
      </c>
      <c r="X14" s="9">
        <f t="shared" ref="X14:X19" si="16">V14*W14</f>
        <v>2.6999999999999997</v>
      </c>
      <c r="Y14" s="10">
        <f t="shared" ref="Y14:Y19" si="17">$U$8-V14</f>
        <v>0.10000000000000009</v>
      </c>
      <c r="Z14" s="10">
        <f t="shared" ref="Z14:Z19" si="18">SQRT(Y14*2*9.81)</f>
        <v>1.4007141035914508</v>
      </c>
      <c r="AB14" s="54">
        <f t="shared" ref="AB14:AB19" si="19">Z14*X14</f>
        <v>3.7819280796969168</v>
      </c>
    </row>
    <row r="15" spans="1:28" x14ac:dyDescent="0.25">
      <c r="A15" s="4"/>
      <c r="B15" s="1"/>
      <c r="C15" s="10">
        <f t="shared" si="9"/>
        <v>0.99999999999999989</v>
      </c>
      <c r="D15" s="10">
        <f t="shared" si="3"/>
        <v>3</v>
      </c>
      <c r="E15" s="9">
        <f t="shared" si="4"/>
        <v>2.9999999999999996</v>
      </c>
      <c r="F15" s="10">
        <f t="shared" si="5"/>
        <v>1</v>
      </c>
      <c r="G15" s="10">
        <f t="shared" si="6"/>
        <v>4.4294469180700204</v>
      </c>
      <c r="I15" s="23">
        <f t="shared" si="7"/>
        <v>13.28834075421006</v>
      </c>
      <c r="K15" s="8">
        <f t="shared" si="0"/>
        <v>0.66666666666666674</v>
      </c>
      <c r="L15">
        <f t="shared" si="1"/>
        <v>1.0000000000000002</v>
      </c>
      <c r="M15" s="23">
        <f t="shared" si="2"/>
        <v>1.0509683995922527</v>
      </c>
      <c r="S15" s="52" t="s">
        <v>41</v>
      </c>
      <c r="T15" s="52">
        <f>($U$15^2/3^2/9.81)^(1/3)</f>
        <v>1.3169068518919069</v>
      </c>
      <c r="U15" s="53">
        <v>14.2</v>
      </c>
      <c r="V15" s="10">
        <f t="shared" si="15"/>
        <v>0.99999999999999989</v>
      </c>
      <c r="W15" s="10">
        <f t="shared" si="8"/>
        <v>3</v>
      </c>
      <c r="X15" s="9">
        <f t="shared" si="16"/>
        <v>2.9999999999999996</v>
      </c>
      <c r="Y15" s="10">
        <f t="shared" si="17"/>
        <v>0</v>
      </c>
      <c r="Z15" s="10">
        <f t="shared" si="18"/>
        <v>0</v>
      </c>
      <c r="AB15" s="54">
        <f t="shared" si="19"/>
        <v>0</v>
      </c>
    </row>
    <row r="16" spans="1:28" x14ac:dyDescent="0.25">
      <c r="C16" s="10">
        <f t="shared" si="9"/>
        <v>1.0999999999999999</v>
      </c>
      <c r="D16" s="10">
        <f t="shared" si="3"/>
        <v>3</v>
      </c>
      <c r="E16" s="9">
        <f t="shared" si="4"/>
        <v>3.3</v>
      </c>
      <c r="F16" s="10">
        <f t="shared" si="5"/>
        <v>0.90000000000000013</v>
      </c>
      <c r="G16" s="10">
        <f t="shared" si="6"/>
        <v>4.2021423107743514</v>
      </c>
      <c r="I16" s="23">
        <f t="shared" si="7"/>
        <v>13.867069625555359</v>
      </c>
      <c r="K16" s="8">
        <f t="shared" si="0"/>
        <v>0.60606060606060608</v>
      </c>
      <c r="L16">
        <f t="shared" si="1"/>
        <v>0.90909090909090917</v>
      </c>
      <c r="M16" s="23">
        <f t="shared" si="2"/>
        <v>1.1421226442911179</v>
      </c>
      <c r="V16" s="10">
        <f t="shared" si="15"/>
        <v>1.0999999999999999</v>
      </c>
      <c r="W16" s="10">
        <f t="shared" si="8"/>
        <v>3</v>
      </c>
      <c r="X16" s="9">
        <f t="shared" si="16"/>
        <v>3.3</v>
      </c>
      <c r="Y16" s="10">
        <f t="shared" si="17"/>
        <v>-9.9999999999999867E-2</v>
      </c>
      <c r="Z16" s="10" t="e">
        <f t="shared" si="18"/>
        <v>#NUM!</v>
      </c>
      <c r="AB16" s="54" t="e">
        <f t="shared" si="19"/>
        <v>#NUM!</v>
      </c>
    </row>
    <row r="17" spans="1:28" x14ac:dyDescent="0.25">
      <c r="C17" s="10">
        <f t="shared" si="9"/>
        <v>1.2</v>
      </c>
      <c r="D17" s="10">
        <f t="shared" si="3"/>
        <v>3</v>
      </c>
      <c r="E17" s="9">
        <f t="shared" si="4"/>
        <v>3.5999999999999996</v>
      </c>
      <c r="F17" s="10">
        <f t="shared" si="5"/>
        <v>0.8</v>
      </c>
      <c r="G17" s="10">
        <f t="shared" si="6"/>
        <v>3.9618177646126029</v>
      </c>
      <c r="I17" s="23">
        <f t="shared" si="7"/>
        <v>14.26254395260537</v>
      </c>
      <c r="K17" s="8">
        <f t="shared" si="0"/>
        <v>0.55555555555555558</v>
      </c>
      <c r="L17">
        <f t="shared" si="1"/>
        <v>0.83333333333333337</v>
      </c>
      <c r="M17" s="23">
        <f t="shared" si="2"/>
        <v>1.2353947219390644</v>
      </c>
      <c r="V17" s="10">
        <f t="shared" si="15"/>
        <v>1.2</v>
      </c>
      <c r="W17" s="10">
        <f t="shared" si="8"/>
        <v>3</v>
      </c>
      <c r="X17" s="9">
        <f t="shared" si="16"/>
        <v>3.5999999999999996</v>
      </c>
      <c r="Y17" s="10">
        <f t="shared" si="17"/>
        <v>-0.19999999999999996</v>
      </c>
      <c r="Z17" s="10" t="e">
        <f t="shared" si="18"/>
        <v>#NUM!</v>
      </c>
      <c r="AB17" s="54" t="e">
        <f t="shared" si="19"/>
        <v>#NUM!</v>
      </c>
    </row>
    <row r="18" spans="1:28" x14ac:dyDescent="0.25">
      <c r="A18" s="3" t="s">
        <v>22</v>
      </c>
      <c r="C18" s="10">
        <f t="shared" si="9"/>
        <v>1.3</v>
      </c>
      <c r="D18" s="10">
        <f t="shared" si="3"/>
        <v>3</v>
      </c>
      <c r="E18" s="9">
        <f t="shared" si="4"/>
        <v>3.9000000000000004</v>
      </c>
      <c r="F18" s="10">
        <f t="shared" si="5"/>
        <v>0.7</v>
      </c>
      <c r="G18" s="10">
        <f t="shared" si="6"/>
        <v>3.7059411760037424</v>
      </c>
      <c r="I18" s="23">
        <f t="shared" si="7"/>
        <v>14.453170586414597</v>
      </c>
      <c r="K18" s="8">
        <f t="shared" si="0"/>
        <v>0.51282051282051277</v>
      </c>
      <c r="L18">
        <f t="shared" si="1"/>
        <v>0.76923076923076916</v>
      </c>
      <c r="M18" s="23">
        <f t="shared" si="2"/>
        <v>1.3301588163267768</v>
      </c>
      <c r="V18" s="10">
        <f t="shared" si="15"/>
        <v>1.3</v>
      </c>
      <c r="W18" s="10">
        <f t="shared" si="8"/>
        <v>3</v>
      </c>
      <c r="X18" s="9">
        <f t="shared" si="16"/>
        <v>3.9000000000000004</v>
      </c>
      <c r="Y18" s="10">
        <f t="shared" si="17"/>
        <v>-0.30000000000000004</v>
      </c>
      <c r="Z18" s="10" t="e">
        <f t="shared" si="18"/>
        <v>#NUM!</v>
      </c>
      <c r="AB18" s="54" t="e">
        <f t="shared" si="19"/>
        <v>#NUM!</v>
      </c>
    </row>
    <row r="19" spans="1:28" x14ac:dyDescent="0.25">
      <c r="A19" s="3" t="s">
        <v>23</v>
      </c>
      <c r="B19" s="9"/>
      <c r="C19" s="10">
        <f t="shared" si="9"/>
        <v>1.4000000000000001</v>
      </c>
      <c r="D19" s="10">
        <f t="shared" si="3"/>
        <v>3</v>
      </c>
      <c r="E19" s="9">
        <f t="shared" si="4"/>
        <v>4.2</v>
      </c>
      <c r="F19" s="10">
        <f t="shared" si="5"/>
        <v>0.59999999999999987</v>
      </c>
      <c r="G19" s="10">
        <f t="shared" si="6"/>
        <v>3.4310348293189912</v>
      </c>
      <c r="I19" s="23">
        <f t="shared" si="7"/>
        <v>14.410346283139763</v>
      </c>
      <c r="K19" s="8">
        <f t="shared" si="0"/>
        <v>0.47619047619047616</v>
      </c>
      <c r="L19">
        <f t="shared" si="1"/>
        <v>0.7142857142857143</v>
      </c>
      <c r="M19" s="23">
        <f t="shared" si="2"/>
        <v>1.4260042855062516</v>
      </c>
      <c r="V19" s="10">
        <f t="shared" si="15"/>
        <v>1.4000000000000001</v>
      </c>
      <c r="W19" s="10">
        <f t="shared" si="8"/>
        <v>3</v>
      </c>
      <c r="X19" s="9">
        <f t="shared" si="16"/>
        <v>4.2</v>
      </c>
      <c r="Y19" s="10">
        <f t="shared" si="17"/>
        <v>-0.40000000000000013</v>
      </c>
      <c r="Z19" s="10" t="e">
        <f t="shared" si="18"/>
        <v>#NUM!</v>
      </c>
      <c r="AB19" s="54" t="e">
        <f t="shared" si="19"/>
        <v>#NUM!</v>
      </c>
    </row>
    <row r="20" spans="1:28" x14ac:dyDescent="0.25">
      <c r="A20" s="3" t="s">
        <v>24</v>
      </c>
      <c r="C20" s="10">
        <f t="shared" si="9"/>
        <v>1.5000000000000002</v>
      </c>
      <c r="D20" s="10">
        <f t="shared" si="3"/>
        <v>3</v>
      </c>
      <c r="E20" s="9">
        <f t="shared" si="4"/>
        <v>4.5000000000000009</v>
      </c>
      <c r="F20" s="10">
        <f t="shared" si="5"/>
        <v>0.49999999999999978</v>
      </c>
      <c r="G20" s="10">
        <f t="shared" si="6"/>
        <v>3.1320919526731648</v>
      </c>
      <c r="I20" s="23">
        <f t="shared" si="7"/>
        <v>14.094413787029245</v>
      </c>
      <c r="K20" s="8">
        <f t="shared" si="0"/>
        <v>0.44444444444444436</v>
      </c>
      <c r="L20">
        <f t="shared" si="1"/>
        <v>0.66666666666666652</v>
      </c>
      <c r="M20" s="23">
        <f t="shared" si="2"/>
        <v>1.5226526220410015</v>
      </c>
    </row>
    <row r="21" spans="1:28" x14ac:dyDescent="0.25">
      <c r="C21" s="10">
        <f t="shared" si="9"/>
        <v>1.6000000000000003</v>
      </c>
      <c r="D21" s="10">
        <f t="shared" si="3"/>
        <v>3</v>
      </c>
      <c r="E21" s="9">
        <f t="shared" si="4"/>
        <v>4.8000000000000007</v>
      </c>
      <c r="F21" s="10">
        <f t="shared" si="5"/>
        <v>0.39999999999999969</v>
      </c>
      <c r="G21" s="10">
        <f t="shared" si="6"/>
        <v>2.8014282071828993</v>
      </c>
      <c r="I21" s="23">
        <f t="shared" si="7"/>
        <v>13.446855394477918</v>
      </c>
      <c r="K21" s="8">
        <f t="shared" si="0"/>
        <v>0.41666666666666663</v>
      </c>
      <c r="L21">
        <f t="shared" si="1"/>
        <v>0.62499999999999989</v>
      </c>
      <c r="M21" s="23">
        <f t="shared" si="2"/>
        <v>1.6199095310907241</v>
      </c>
    </row>
    <row r="22" spans="1:28" x14ac:dyDescent="0.25">
      <c r="C22" s="10">
        <f t="shared" si="9"/>
        <v>1.7000000000000004</v>
      </c>
      <c r="D22" s="10">
        <f t="shared" si="3"/>
        <v>3</v>
      </c>
      <c r="E22" s="9">
        <f t="shared" si="4"/>
        <v>5.1000000000000014</v>
      </c>
      <c r="F22" s="10">
        <f t="shared" si="5"/>
        <v>0.2999999999999996</v>
      </c>
      <c r="G22" s="10">
        <f t="shared" si="6"/>
        <v>2.4261079942986856</v>
      </c>
      <c r="I22" s="23">
        <f t="shared" si="7"/>
        <v>12.373150770923299</v>
      </c>
      <c r="K22" s="8">
        <f t="shared" si="0"/>
        <v>0.39215686274509792</v>
      </c>
      <c r="L22">
        <f t="shared" si="1"/>
        <v>0.58823529411764686</v>
      </c>
      <c r="M22" s="23">
        <f t="shared" si="2"/>
        <v>1.7176361244263854</v>
      </c>
    </row>
    <row r="23" spans="1:28" x14ac:dyDescent="0.25">
      <c r="C23" s="10">
        <f t="shared" si="9"/>
        <v>1.8000000000000005</v>
      </c>
      <c r="D23" s="10">
        <f t="shared" si="3"/>
        <v>3</v>
      </c>
      <c r="E23" s="9">
        <f t="shared" si="4"/>
        <v>5.4000000000000012</v>
      </c>
      <c r="F23" s="10">
        <f t="shared" si="5"/>
        <v>0.19999999999999951</v>
      </c>
      <c r="G23" s="10">
        <f t="shared" si="6"/>
        <v>1.980908882306299</v>
      </c>
      <c r="I23" s="23">
        <f t="shared" si="7"/>
        <v>10.696907964454017</v>
      </c>
      <c r="K23" s="8">
        <f t="shared" si="0"/>
        <v>0.37037037037037029</v>
      </c>
      <c r="L23">
        <f t="shared" si="1"/>
        <v>0.55555555555555547</v>
      </c>
      <c r="M23" s="23">
        <f t="shared" si="2"/>
        <v>1.8157309875284735</v>
      </c>
    </row>
    <row r="24" spans="1:28" x14ac:dyDescent="0.25">
      <c r="C24" s="10">
        <f t="shared" si="9"/>
        <v>1.9000000000000006</v>
      </c>
      <c r="D24" s="10">
        <f t="shared" si="3"/>
        <v>3</v>
      </c>
      <c r="E24" s="9">
        <f t="shared" si="4"/>
        <v>5.700000000000002</v>
      </c>
      <c r="F24" s="10">
        <f t="shared" si="5"/>
        <v>9.9999999999999423E-2</v>
      </c>
      <c r="G24" s="10">
        <f t="shared" si="6"/>
        <v>1.4007141035914463</v>
      </c>
      <c r="I24" s="23">
        <f t="shared" si="7"/>
        <v>7.9840703904712464</v>
      </c>
      <c r="K24" s="8">
        <f t="shared" si="0"/>
        <v>0.35087719298245601</v>
      </c>
      <c r="L24">
        <f t="shared" si="1"/>
        <v>0.52631578947368407</v>
      </c>
      <c r="M24" s="23">
        <f t="shared" si="2"/>
        <v>1.914118670247162</v>
      </c>
    </row>
    <row r="25" spans="1:28" x14ac:dyDescent="0.25">
      <c r="C25" s="10">
        <f t="shared" si="9"/>
        <v>2.0000000000000004</v>
      </c>
      <c r="D25" s="10">
        <f t="shared" si="3"/>
        <v>3</v>
      </c>
      <c r="E25" s="9">
        <f t="shared" si="4"/>
        <v>6.0000000000000018</v>
      </c>
      <c r="F25" s="10">
        <f t="shared" si="5"/>
        <v>0</v>
      </c>
      <c r="G25" s="10">
        <f t="shared" si="6"/>
        <v>0</v>
      </c>
      <c r="I25" s="23">
        <f t="shared" si="7"/>
        <v>0</v>
      </c>
      <c r="K25" s="8">
        <f t="shared" si="0"/>
        <v>0.33333333333333326</v>
      </c>
      <c r="L25">
        <f t="shared" si="1"/>
        <v>0.49999999999999983</v>
      </c>
      <c r="M25" s="23">
        <f t="shared" si="2"/>
        <v>2.0127420998980639</v>
      </c>
    </row>
    <row r="26" spans="1:28" x14ac:dyDescent="0.25">
      <c r="C26" s="10">
        <f t="shared" si="9"/>
        <v>2.1000000000000005</v>
      </c>
      <c r="D26" s="10">
        <f t="shared" si="3"/>
        <v>3</v>
      </c>
      <c r="E26" s="9">
        <f t="shared" si="4"/>
        <v>6.3000000000000016</v>
      </c>
      <c r="F26" s="10">
        <f t="shared" si="5"/>
        <v>-0.10000000000000053</v>
      </c>
      <c r="G26" s="10" t="e">
        <f t="shared" si="6"/>
        <v>#NUM!</v>
      </c>
      <c r="I26" s="23" t="e">
        <f t="shared" si="7"/>
        <v>#NUM!</v>
      </c>
      <c r="K26" s="8">
        <f t="shared" si="0"/>
        <v>0.31746031746031739</v>
      </c>
      <c r="L26">
        <f t="shared" si="1"/>
        <v>0.47619047619047605</v>
      </c>
      <c r="M26" s="23">
        <f t="shared" si="2"/>
        <v>2.1115574602250011</v>
      </c>
    </row>
    <row r="27" spans="1:28" x14ac:dyDescent="0.25">
      <c r="C27" s="10">
        <f>C26+$B$14</f>
        <v>2.2000000000000006</v>
      </c>
      <c r="D27" s="10">
        <f t="shared" si="3"/>
        <v>3</v>
      </c>
      <c r="E27" s="9">
        <f>C27*D27</f>
        <v>6.6000000000000014</v>
      </c>
      <c r="F27" s="10">
        <f t="shared" si="5"/>
        <v>-0.20000000000000062</v>
      </c>
      <c r="G27" s="10" t="e">
        <f t="shared" si="6"/>
        <v>#NUM!</v>
      </c>
      <c r="I27" s="23" t="e">
        <f t="shared" si="7"/>
        <v>#NUM!</v>
      </c>
      <c r="K27" s="8">
        <f t="shared" si="0"/>
        <v>0.30303030303030298</v>
      </c>
      <c r="L27">
        <f t="shared" si="1"/>
        <v>0.45454545454545447</v>
      </c>
      <c r="M27" s="23">
        <f t="shared" si="2"/>
        <v>2.21053066107278</v>
      </c>
    </row>
    <row r="28" spans="1:28" x14ac:dyDescent="0.25">
      <c r="C28" s="10">
        <f>C27+$B$14</f>
        <v>2.3000000000000007</v>
      </c>
      <c r="D28" s="10">
        <f t="shared" si="3"/>
        <v>3</v>
      </c>
      <c r="E28" s="9">
        <f>C28*D28</f>
        <v>6.9000000000000021</v>
      </c>
      <c r="F28" s="10">
        <f t="shared" si="5"/>
        <v>-0.30000000000000071</v>
      </c>
      <c r="G28" s="10" t="e">
        <f t="shared" si="6"/>
        <v>#NUM!</v>
      </c>
      <c r="I28" s="23" t="e">
        <f t="shared" si="7"/>
        <v>#NUM!</v>
      </c>
      <c r="K28" s="8">
        <f t="shared" si="0"/>
        <v>0.28985507246376802</v>
      </c>
      <c r="L28">
        <f t="shared" si="1"/>
        <v>0.43478260869565205</v>
      </c>
      <c r="M28" s="23">
        <f t="shared" si="2"/>
        <v>2.309634858145984</v>
      </c>
    </row>
    <row r="29" spans="1:28" x14ac:dyDescent="0.25">
      <c r="C29" s="10">
        <f>C28+$B$14</f>
        <v>2.4000000000000008</v>
      </c>
      <c r="D29" s="10">
        <f t="shared" si="3"/>
        <v>3</v>
      </c>
      <c r="E29" s="9">
        <f>C29*D29</f>
        <v>7.2000000000000028</v>
      </c>
      <c r="F29" s="10">
        <f t="shared" si="5"/>
        <v>-0.4000000000000008</v>
      </c>
      <c r="G29" s="10" t="e">
        <f t="shared" si="6"/>
        <v>#NUM!</v>
      </c>
      <c r="I29" s="23" t="e">
        <f t="shared" si="7"/>
        <v>#NUM!</v>
      </c>
      <c r="K29" s="8">
        <f t="shared" si="0"/>
        <v>0.27777777777777768</v>
      </c>
      <c r="L29">
        <f t="shared" si="1"/>
        <v>0.41666666666666652</v>
      </c>
      <c r="M29" s="23">
        <f t="shared" si="2"/>
        <v>2.4088486804847671</v>
      </c>
    </row>
    <row r="30" spans="1:28" x14ac:dyDescent="0.25">
      <c r="C30" s="10">
        <f>C29+$B$14</f>
        <v>2.5000000000000009</v>
      </c>
      <c r="D30" s="10">
        <f t="shared" si="3"/>
        <v>3</v>
      </c>
      <c r="E30" s="9">
        <f>C30*D30</f>
        <v>7.5000000000000027</v>
      </c>
      <c r="F30" s="10">
        <f t="shared" si="5"/>
        <v>-0.50000000000000089</v>
      </c>
      <c r="G30" s="10" t="e">
        <f t="shared" si="6"/>
        <v>#NUM!</v>
      </c>
      <c r="I30" s="23" t="e">
        <f t="shared" si="7"/>
        <v>#NUM!</v>
      </c>
      <c r="K30" s="8">
        <f t="shared" si="0"/>
        <v>0.26666666666666655</v>
      </c>
      <c r="L30">
        <f t="shared" si="1"/>
        <v>0.39999999999999986</v>
      </c>
      <c r="M30" s="23">
        <f t="shared" si="2"/>
        <v>2.5081549439347612</v>
      </c>
    </row>
    <row r="31" spans="1:28" x14ac:dyDescent="0.25">
      <c r="C31" s="10">
        <f>C30+$B$14</f>
        <v>2.600000000000001</v>
      </c>
      <c r="D31" s="10">
        <f t="shared" si="3"/>
        <v>3</v>
      </c>
      <c r="E31" s="9">
        <f>C31*D31</f>
        <v>7.8000000000000025</v>
      </c>
      <c r="F31" s="10">
        <f t="shared" si="5"/>
        <v>-0.60000000000000098</v>
      </c>
      <c r="G31" s="10" t="e">
        <f t="shared" si="6"/>
        <v>#NUM!</v>
      </c>
      <c r="I31" s="23" t="e">
        <f t="shared" si="7"/>
        <v>#NUM!</v>
      </c>
      <c r="K31" s="8">
        <f t="shared" si="0"/>
        <v>0.25641025641025633</v>
      </c>
      <c r="L31">
        <f t="shared" si="1"/>
        <v>0.38461538461538447</v>
      </c>
      <c r="M31" s="23">
        <f t="shared" si="2"/>
        <v>2.6075397040816952</v>
      </c>
    </row>
    <row r="32" spans="1:28" x14ac:dyDescent="0.25">
      <c r="C32" s="10">
        <f t="shared" ref="C32:C44" si="20">C31+$B$14</f>
        <v>2.7000000000000011</v>
      </c>
      <c r="D32" s="10">
        <f t="shared" si="3"/>
        <v>3</v>
      </c>
      <c r="E32" s="9">
        <f t="shared" ref="E32:E42" si="21">C32*D32</f>
        <v>8.1000000000000032</v>
      </c>
      <c r="F32" s="10">
        <f t="shared" si="5"/>
        <v>-0.70000000000000107</v>
      </c>
      <c r="G32" s="10" t="e">
        <f t="shared" si="6"/>
        <v>#NUM!</v>
      </c>
      <c r="I32" s="23" t="e">
        <f t="shared" si="7"/>
        <v>#NUM!</v>
      </c>
      <c r="K32" s="8">
        <f t="shared" si="0"/>
        <v>0.24691358024691348</v>
      </c>
      <c r="L32">
        <f t="shared" si="1"/>
        <v>0.37037037037037024</v>
      </c>
      <c r="M32" s="23">
        <f t="shared" si="2"/>
        <v>2.7069915500126558</v>
      </c>
    </row>
    <row r="33" spans="3:13" x14ac:dyDescent="0.25">
      <c r="C33" s="10">
        <f t="shared" si="20"/>
        <v>2.8000000000000012</v>
      </c>
      <c r="D33" s="10">
        <f t="shared" si="3"/>
        <v>3</v>
      </c>
      <c r="E33" s="9">
        <f t="shared" si="21"/>
        <v>8.4000000000000039</v>
      </c>
      <c r="F33" s="10">
        <f t="shared" si="5"/>
        <v>-0.80000000000000115</v>
      </c>
      <c r="G33" s="10" t="e">
        <f t="shared" si="6"/>
        <v>#NUM!</v>
      </c>
      <c r="I33" s="23" t="e">
        <f t="shared" si="7"/>
        <v>#NUM!</v>
      </c>
      <c r="K33" s="8">
        <f t="shared" si="0"/>
        <v>0.23809523809523797</v>
      </c>
      <c r="L33">
        <f t="shared" si="1"/>
        <v>0.35714285714285698</v>
      </c>
      <c r="M33" s="23">
        <f t="shared" si="2"/>
        <v>2.8065010713765641</v>
      </c>
    </row>
    <row r="34" spans="3:13" x14ac:dyDescent="0.25">
      <c r="C34" s="10">
        <f t="shared" si="20"/>
        <v>2.9000000000000012</v>
      </c>
      <c r="D34" s="10">
        <f t="shared" si="3"/>
        <v>3</v>
      </c>
      <c r="E34" s="9">
        <f t="shared" si="21"/>
        <v>8.7000000000000028</v>
      </c>
      <c r="F34" s="10">
        <f t="shared" si="5"/>
        <v>-0.90000000000000124</v>
      </c>
      <c r="G34" s="10" t="e">
        <f t="shared" si="6"/>
        <v>#NUM!</v>
      </c>
      <c r="I34" s="23" t="e">
        <f t="shared" si="7"/>
        <v>#NUM!</v>
      </c>
      <c r="K34" s="8">
        <f t="shared" si="0"/>
        <v>0.22988505747126428</v>
      </c>
      <c r="L34">
        <f t="shared" si="1"/>
        <v>0.34482758620689646</v>
      </c>
      <c r="M34" s="23">
        <f t="shared" si="2"/>
        <v>2.9060604517945614</v>
      </c>
    </row>
    <row r="35" spans="3:13" x14ac:dyDescent="0.25">
      <c r="C35" s="10">
        <f t="shared" si="20"/>
        <v>3.0000000000000013</v>
      </c>
      <c r="D35" s="10">
        <f t="shared" si="3"/>
        <v>3</v>
      </c>
      <c r="E35" s="9">
        <f t="shared" si="21"/>
        <v>9.0000000000000036</v>
      </c>
      <c r="F35" s="10">
        <f t="shared" si="5"/>
        <v>-1.0000000000000013</v>
      </c>
      <c r="G35" s="10" t="e">
        <f t="shared" si="6"/>
        <v>#NUM!</v>
      </c>
      <c r="I35" s="23" t="e">
        <f t="shared" si="7"/>
        <v>#NUM!</v>
      </c>
      <c r="K35" s="8">
        <f t="shared" si="0"/>
        <v>0.22222222222222213</v>
      </c>
      <c r="L35">
        <f t="shared" si="1"/>
        <v>0.3333333333333332</v>
      </c>
      <c r="M35" s="23">
        <f t="shared" si="2"/>
        <v>3.0056631555102515</v>
      </c>
    </row>
    <row r="36" spans="3:13" x14ac:dyDescent="0.25">
      <c r="C36" s="10">
        <f t="shared" si="20"/>
        <v>3.1000000000000014</v>
      </c>
      <c r="D36" s="10">
        <f t="shared" si="3"/>
        <v>3</v>
      </c>
      <c r="E36" s="9">
        <f t="shared" si="21"/>
        <v>9.3000000000000043</v>
      </c>
      <c r="F36" s="10">
        <f t="shared" si="5"/>
        <v>-1.1000000000000014</v>
      </c>
      <c r="G36" s="10" t="e">
        <f t="shared" si="6"/>
        <v>#NUM!</v>
      </c>
      <c r="I36" s="23" t="e">
        <f t="shared" si="7"/>
        <v>#NUM!</v>
      </c>
      <c r="K36" s="8">
        <f t="shared" si="0"/>
        <v>0.21505376344086011</v>
      </c>
      <c r="L36">
        <f t="shared" si="1"/>
        <v>0.32258064516129015</v>
      </c>
      <c r="M36" s="23">
        <f t="shared" si="2"/>
        <v>3.1053036836204231</v>
      </c>
    </row>
    <row r="37" spans="3:13" x14ac:dyDescent="0.25">
      <c r="C37" s="10">
        <f t="shared" si="20"/>
        <v>3.2000000000000015</v>
      </c>
      <c r="D37" s="10">
        <f t="shared" si="3"/>
        <v>3</v>
      </c>
      <c r="E37" s="9">
        <f t="shared" si="21"/>
        <v>9.600000000000005</v>
      </c>
      <c r="F37" s="10">
        <f t="shared" si="5"/>
        <v>-1.2000000000000015</v>
      </c>
      <c r="G37" s="10" t="e">
        <f t="shared" si="6"/>
        <v>#NUM!</v>
      </c>
      <c r="I37" s="23" t="e">
        <f t="shared" si="7"/>
        <v>#NUM!</v>
      </c>
      <c r="K37" s="8">
        <f t="shared" si="0"/>
        <v>0.20833333333333323</v>
      </c>
      <c r="L37">
        <f t="shared" si="1"/>
        <v>0.31249999999999983</v>
      </c>
      <c r="M37" s="23">
        <f t="shared" si="2"/>
        <v>3.2049773827726824</v>
      </c>
    </row>
    <row r="38" spans="3:13" x14ac:dyDescent="0.25">
      <c r="C38" s="10">
        <f t="shared" si="20"/>
        <v>3.3000000000000016</v>
      </c>
      <c r="D38" s="10">
        <f t="shared" si="3"/>
        <v>3</v>
      </c>
      <c r="E38" s="9">
        <f t="shared" si="21"/>
        <v>9.9000000000000057</v>
      </c>
      <c r="F38" s="10">
        <f t="shared" si="5"/>
        <v>-1.3000000000000016</v>
      </c>
      <c r="G38" s="10" t="e">
        <f t="shared" si="6"/>
        <v>#NUM!</v>
      </c>
      <c r="I38" s="23" t="e">
        <f t="shared" si="7"/>
        <v>#NUM!</v>
      </c>
      <c r="K38" s="8">
        <f t="shared" si="0"/>
        <v>0.20202020202020191</v>
      </c>
      <c r="L38">
        <f t="shared" si="1"/>
        <v>0.30303030303030287</v>
      </c>
      <c r="M38" s="23">
        <f t="shared" si="2"/>
        <v>3.3046802938101258</v>
      </c>
    </row>
    <row r="39" spans="3:13" x14ac:dyDescent="0.25">
      <c r="C39" s="10">
        <f t="shared" si="20"/>
        <v>3.4000000000000017</v>
      </c>
      <c r="D39" s="10">
        <f t="shared" si="3"/>
        <v>3</v>
      </c>
      <c r="E39" s="9">
        <f t="shared" si="21"/>
        <v>10.200000000000005</v>
      </c>
      <c r="F39" s="10">
        <f t="shared" si="5"/>
        <v>-1.4000000000000017</v>
      </c>
      <c r="G39" s="10" t="e">
        <f t="shared" si="6"/>
        <v>#NUM!</v>
      </c>
      <c r="I39" s="23" t="e">
        <f t="shared" si="7"/>
        <v>#NUM!</v>
      </c>
      <c r="K39" s="8">
        <f t="shared" si="0"/>
        <v>0.19607843137254893</v>
      </c>
      <c r="L39">
        <f t="shared" si="1"/>
        <v>0.29411764705882337</v>
      </c>
      <c r="M39" s="23">
        <f t="shared" si="2"/>
        <v>3.404409031106598</v>
      </c>
    </row>
    <row r="40" spans="3:13" x14ac:dyDescent="0.25">
      <c r="C40" s="10">
        <f t="shared" si="20"/>
        <v>3.5000000000000018</v>
      </c>
      <c r="D40" s="10">
        <f t="shared" si="3"/>
        <v>3</v>
      </c>
      <c r="E40" s="9">
        <f t="shared" si="21"/>
        <v>10.500000000000005</v>
      </c>
      <c r="F40" s="10">
        <f t="shared" si="5"/>
        <v>-1.5000000000000018</v>
      </c>
      <c r="G40" s="10" t="e">
        <f t="shared" si="6"/>
        <v>#NUM!</v>
      </c>
      <c r="I40" s="23" t="e">
        <f t="shared" si="7"/>
        <v>#NUM!</v>
      </c>
      <c r="K40" s="8">
        <f t="shared" si="0"/>
        <v>0.19047619047619038</v>
      </c>
      <c r="L40">
        <f t="shared" si="1"/>
        <v>0.28571428571428559</v>
      </c>
      <c r="M40" s="23">
        <f t="shared" si="2"/>
        <v>3.5041606856810019</v>
      </c>
    </row>
    <row r="41" spans="3:13" x14ac:dyDescent="0.25">
      <c r="C41" s="10">
        <f t="shared" si="20"/>
        <v>3.6000000000000019</v>
      </c>
      <c r="D41" s="10">
        <f t="shared" si="3"/>
        <v>3</v>
      </c>
      <c r="E41" s="9">
        <f t="shared" si="21"/>
        <v>10.800000000000006</v>
      </c>
      <c r="F41" s="10">
        <f t="shared" si="5"/>
        <v>-1.6000000000000019</v>
      </c>
      <c r="G41" s="10" t="e">
        <f t="shared" si="6"/>
        <v>#NUM!</v>
      </c>
      <c r="I41" s="23" t="e">
        <f t="shared" si="7"/>
        <v>#NUM!</v>
      </c>
      <c r="K41" s="8">
        <f t="shared" si="0"/>
        <v>0.18518518518518509</v>
      </c>
      <c r="L41">
        <f t="shared" si="1"/>
        <v>0.27777777777777762</v>
      </c>
      <c r="M41" s="23">
        <f t="shared" si="2"/>
        <v>3.6039327468821201</v>
      </c>
    </row>
    <row r="42" spans="3:13" x14ac:dyDescent="0.25">
      <c r="C42" s="10">
        <f t="shared" si="20"/>
        <v>3.700000000000002</v>
      </c>
      <c r="D42" s="10">
        <f t="shared" si="3"/>
        <v>3</v>
      </c>
      <c r="E42" s="9">
        <f t="shared" si="21"/>
        <v>11.100000000000005</v>
      </c>
      <c r="F42" s="10">
        <f t="shared" si="5"/>
        <v>-1.700000000000002</v>
      </c>
      <c r="G42" s="10" t="e">
        <f t="shared" si="6"/>
        <v>#NUM!</v>
      </c>
      <c r="I42" s="23" t="e">
        <f t="shared" si="7"/>
        <v>#NUM!</v>
      </c>
      <c r="K42" s="8">
        <f t="shared" si="0"/>
        <v>0.18018018018018009</v>
      </c>
      <c r="L42">
        <f t="shared" si="1"/>
        <v>0.27027027027027017</v>
      </c>
      <c r="M42" s="23">
        <f t="shared" si="2"/>
        <v>3.7037230386846076</v>
      </c>
    </row>
    <row r="43" spans="3:13" x14ac:dyDescent="0.25">
      <c r="C43" s="10">
        <f t="shared" si="20"/>
        <v>3.800000000000002</v>
      </c>
      <c r="D43" s="10">
        <f t="shared" si="3"/>
        <v>3</v>
      </c>
      <c r="E43" s="9">
        <f>C43*D43</f>
        <v>11.400000000000006</v>
      </c>
      <c r="F43" s="10">
        <f>$B$8-C43</f>
        <v>-1.800000000000002</v>
      </c>
      <c r="G43" s="10" t="e">
        <f t="shared" si="6"/>
        <v>#NUM!</v>
      </c>
      <c r="I43" s="23" t="e">
        <f>G43*E43</f>
        <v>#NUM!</v>
      </c>
      <c r="K43" s="8">
        <f t="shared" si="0"/>
        <v>0.17543859649122798</v>
      </c>
      <c r="L43">
        <f t="shared" si="1"/>
        <v>0.26315789473684198</v>
      </c>
      <c r="M43" s="23">
        <f t="shared" si="2"/>
        <v>3.8035296675617922</v>
      </c>
    </row>
    <row r="44" spans="3:13" x14ac:dyDescent="0.25">
      <c r="C44" s="10">
        <f t="shared" si="20"/>
        <v>3.9000000000000021</v>
      </c>
      <c r="D44" s="10">
        <f t="shared" si="3"/>
        <v>3</v>
      </c>
      <c r="E44" s="9">
        <f>C44*D44</f>
        <v>11.700000000000006</v>
      </c>
      <c r="F44" s="10">
        <f>$B$8-C44</f>
        <v>-1.9000000000000021</v>
      </c>
      <c r="G44" s="10" t="e">
        <f t="shared" si="6"/>
        <v>#NUM!</v>
      </c>
      <c r="I44" s="23" t="e">
        <f>G44*E44</f>
        <v>#NUM!</v>
      </c>
      <c r="K44" s="8">
        <f t="shared" si="0"/>
        <v>0.17094017094017086</v>
      </c>
      <c r="L44">
        <f t="shared" si="1"/>
        <v>0.25641025641025628</v>
      </c>
      <c r="M44" s="23">
        <f t="shared" si="2"/>
        <v>3.9033509795918664</v>
      </c>
    </row>
  </sheetData>
  <pageMargins left="0.75" right="0.75" top="1" bottom="1" header="0.5" footer="0.5"/>
  <pageSetup paperSize="9" orientation="portrait" horizontalDpi="360" verticalDpi="12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08655" r:id="rId4">
          <objectPr defaultSize="0" autoPict="0" r:id="rId5">
            <anchor moveWithCells="1" sizeWithCells="1">
              <from>
                <xdr:col>19</xdr:col>
                <xdr:colOff>586740</xdr:colOff>
                <xdr:row>21</xdr:row>
                <xdr:rowOff>60960</xdr:rowOff>
              </from>
              <to>
                <xdr:col>22</xdr:col>
                <xdr:colOff>99060</xdr:colOff>
                <xdr:row>27</xdr:row>
                <xdr:rowOff>60960</xdr:rowOff>
              </to>
            </anchor>
          </objectPr>
        </oleObject>
      </mc:Choice>
      <mc:Fallback>
        <oleObject progId="Equation.3" shapeId="10865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O100"/>
  <sheetViews>
    <sheetView tabSelected="1" topLeftCell="A40" zoomScaleNormal="100" workbookViewId="0">
      <selection activeCell="M73" sqref="M73"/>
    </sheetView>
  </sheetViews>
  <sheetFormatPr defaultRowHeight="13.2" x14ac:dyDescent="0.25"/>
  <cols>
    <col min="1" max="1" width="17.44140625" customWidth="1"/>
    <col min="2" max="2" width="10.5546875" customWidth="1"/>
    <col min="8" max="8" width="13.5546875" customWidth="1"/>
    <col min="9" max="9" width="12.5546875" customWidth="1"/>
    <col min="10" max="10" width="12.109375" bestFit="1" customWidth="1"/>
    <col min="11" max="11" width="12.44140625" bestFit="1" customWidth="1"/>
    <col min="12" max="12" width="13.5546875" customWidth="1"/>
    <col min="13" max="13" width="16.5546875" customWidth="1"/>
  </cols>
  <sheetData>
    <row r="3" spans="1:13" x14ac:dyDescent="0.25">
      <c r="A3" s="55" t="s">
        <v>69</v>
      </c>
      <c r="E3" s="9"/>
      <c r="H3" s="22"/>
    </row>
    <row r="4" spans="1:13" x14ac:dyDescent="0.25">
      <c r="E4" s="22" t="s">
        <v>133</v>
      </c>
      <c r="H4" s="22"/>
      <c r="J4" s="80"/>
    </row>
    <row r="5" spans="1:13" x14ac:dyDescent="0.25">
      <c r="A5" s="3" t="s">
        <v>2</v>
      </c>
      <c r="B5" s="3">
        <v>2</v>
      </c>
      <c r="C5" s="10" t="s">
        <v>6</v>
      </c>
      <c r="D5" s="32" t="s">
        <v>19</v>
      </c>
      <c r="E5" s="9" t="s">
        <v>21</v>
      </c>
      <c r="F5" t="s">
        <v>25</v>
      </c>
      <c r="G5" t="s">
        <v>8</v>
      </c>
      <c r="H5" s="46" t="s">
        <v>42</v>
      </c>
      <c r="I5" s="127" t="s">
        <v>43</v>
      </c>
      <c r="J5" s="38"/>
      <c r="K5" t="s">
        <v>9</v>
      </c>
    </row>
    <row r="6" spans="1:13" x14ac:dyDescent="0.25">
      <c r="C6" s="32">
        <v>1E-3</v>
      </c>
      <c r="D6" s="32">
        <f>$B$5</f>
        <v>2</v>
      </c>
      <c r="E6" s="9">
        <f>C6*D6</f>
        <v>2E-3</v>
      </c>
      <c r="F6">
        <f t="shared" ref="F6:F42" si="0">$B$5+2*C6</f>
        <v>2.0019999999999998</v>
      </c>
      <c r="G6">
        <f t="shared" ref="G6:G42" si="1">E6/F6</f>
        <v>9.9900099900099922E-4</v>
      </c>
      <c r="H6" s="54">
        <f t="shared" ref="H6:H42" si="2">($B$8*8*9.81*G6*E6^2/$B$11)^0.5</f>
        <v>2.7325480591181424E-4</v>
      </c>
      <c r="I6" s="128">
        <f>D6*C6*SQRT(C6*9.81)</f>
        <v>1.9809088823063016E-4</v>
      </c>
      <c r="J6" s="122"/>
      <c r="K6" s="123">
        <f t="shared" ref="K6:K42" si="3">H6/E6</f>
        <v>0.13662740295590711</v>
      </c>
      <c r="L6" s="9"/>
    </row>
    <row r="7" spans="1:13" x14ac:dyDescent="0.25">
      <c r="C7" s="32">
        <f>C6+$B$14</f>
        <v>0.10100000000000001</v>
      </c>
      <c r="D7" s="10">
        <f t="shared" ref="D7:D42" si="4">$B$5</f>
        <v>2</v>
      </c>
      <c r="E7" s="9">
        <f t="shared" ref="E7:E26" si="5">C7*D7</f>
        <v>0.20200000000000001</v>
      </c>
      <c r="F7">
        <f t="shared" si="0"/>
        <v>2.202</v>
      </c>
      <c r="G7">
        <f t="shared" si="1"/>
        <v>9.1734786557674849E-2</v>
      </c>
      <c r="H7" s="54">
        <f t="shared" si="2"/>
        <v>0.26446807179033299</v>
      </c>
      <c r="I7" s="128">
        <f t="shared" ref="I7:I42" si="6">D7*C7*SQRT(C7*9.81)</f>
        <v>0.20106966762791451</v>
      </c>
      <c r="J7" s="124"/>
      <c r="K7" s="8">
        <f t="shared" si="3"/>
        <v>1.3092478801501632</v>
      </c>
      <c r="L7" s="9"/>
    </row>
    <row r="8" spans="1:13" x14ac:dyDescent="0.25">
      <c r="A8" s="26" t="s">
        <v>39</v>
      </c>
      <c r="B8" s="3">
        <f>0.05/7</f>
        <v>7.1428571428571435E-3</v>
      </c>
      <c r="C8" s="32">
        <f t="shared" ref="C8:C42" si="7">C7+$B$14</f>
        <v>0.20100000000000001</v>
      </c>
      <c r="D8" s="10">
        <f t="shared" si="4"/>
        <v>2</v>
      </c>
      <c r="E8" s="9">
        <f t="shared" si="5"/>
        <v>0.40200000000000002</v>
      </c>
      <c r="F8">
        <f t="shared" si="0"/>
        <v>2.4020000000000001</v>
      </c>
      <c r="G8">
        <f t="shared" si="1"/>
        <v>0.16736053288925895</v>
      </c>
      <c r="H8" s="54">
        <f t="shared" si="2"/>
        <v>0.71089822535199232</v>
      </c>
      <c r="I8" s="128">
        <f t="shared" si="6"/>
        <v>0.56449303205619827</v>
      </c>
      <c r="J8" s="57"/>
      <c r="K8" s="8">
        <f t="shared" si="3"/>
        <v>1.768403545651722</v>
      </c>
      <c r="L8" s="9"/>
    </row>
    <row r="9" spans="1:13" x14ac:dyDescent="0.25">
      <c r="C9" s="32">
        <f t="shared" si="7"/>
        <v>0.30100000000000005</v>
      </c>
      <c r="D9" s="10">
        <f t="shared" si="4"/>
        <v>2</v>
      </c>
      <c r="E9" s="9">
        <f t="shared" si="5"/>
        <v>0.60200000000000009</v>
      </c>
      <c r="F9">
        <f t="shared" si="0"/>
        <v>2.6020000000000003</v>
      </c>
      <c r="G9">
        <f t="shared" si="1"/>
        <v>0.23136049192928518</v>
      </c>
      <c r="H9" s="54">
        <f t="shared" si="2"/>
        <v>1.2516875795388058</v>
      </c>
      <c r="I9" s="128">
        <f t="shared" si="6"/>
        <v>1.0344612874535231</v>
      </c>
      <c r="J9" s="57"/>
      <c r="K9" s="8">
        <f t="shared" si="3"/>
        <v>2.0792152484033317</v>
      </c>
      <c r="L9" s="9"/>
    </row>
    <row r="10" spans="1:13" x14ac:dyDescent="0.25">
      <c r="A10" s="17" t="s">
        <v>7</v>
      </c>
      <c r="B10" s="18"/>
      <c r="C10" s="32">
        <f t="shared" si="7"/>
        <v>0.40100000000000002</v>
      </c>
      <c r="D10" s="10">
        <f t="shared" si="4"/>
        <v>2</v>
      </c>
      <c r="E10" s="9">
        <f t="shared" si="5"/>
        <v>0.80200000000000005</v>
      </c>
      <c r="F10">
        <f t="shared" si="0"/>
        <v>2.802</v>
      </c>
      <c r="G10">
        <f t="shared" si="1"/>
        <v>0.2862241256245539</v>
      </c>
      <c r="H10" s="54">
        <f t="shared" si="2"/>
        <v>1.8547370135784982</v>
      </c>
      <c r="I10" s="128">
        <f t="shared" si="6"/>
        <v>1.5906735451499785</v>
      </c>
      <c r="J10" s="57"/>
      <c r="K10" s="8">
        <f t="shared" si="3"/>
        <v>2.3126396678036136</v>
      </c>
      <c r="L10" s="9"/>
    </row>
    <row r="11" spans="1:13" x14ac:dyDescent="0.25">
      <c r="A11" s="3" t="s">
        <v>0</v>
      </c>
      <c r="B11" s="5">
        <v>0.03</v>
      </c>
      <c r="C11" s="32">
        <f t="shared" si="7"/>
        <v>0.501</v>
      </c>
      <c r="D11" s="10">
        <f t="shared" si="4"/>
        <v>2</v>
      </c>
      <c r="E11" s="9">
        <f t="shared" si="5"/>
        <v>1.002</v>
      </c>
      <c r="F11">
        <f t="shared" si="0"/>
        <v>3.0019999999999998</v>
      </c>
      <c r="G11">
        <f t="shared" si="1"/>
        <v>0.33377748167888077</v>
      </c>
      <c r="H11" s="54">
        <f t="shared" si="2"/>
        <v>2.5023674965460327</v>
      </c>
      <c r="I11" s="128">
        <f t="shared" si="6"/>
        <v>2.2213709503907717</v>
      </c>
      <c r="J11" s="57"/>
      <c r="K11" s="8">
        <f t="shared" si="3"/>
        <v>2.4973727510439447</v>
      </c>
      <c r="L11" s="9"/>
    </row>
    <row r="12" spans="1:13" x14ac:dyDescent="0.25">
      <c r="C12" s="32">
        <f t="shared" si="7"/>
        <v>0.60099999999999998</v>
      </c>
      <c r="D12" s="10">
        <f t="shared" si="4"/>
        <v>2</v>
      </c>
      <c r="E12" s="9">
        <f t="shared" si="5"/>
        <v>1.202</v>
      </c>
      <c r="F12">
        <f t="shared" si="0"/>
        <v>3.202</v>
      </c>
      <c r="G12">
        <f t="shared" si="1"/>
        <v>0.37539038101186756</v>
      </c>
      <c r="H12" s="54">
        <f t="shared" si="2"/>
        <v>3.1834709392065652</v>
      </c>
      <c r="I12" s="128">
        <f t="shared" si="6"/>
        <v>2.9186109489344414</v>
      </c>
      <c r="J12" s="57"/>
      <c r="K12" s="8">
        <f t="shared" si="3"/>
        <v>2.6484783188074585</v>
      </c>
      <c r="L12" s="9"/>
    </row>
    <row r="13" spans="1:13" x14ac:dyDescent="0.25">
      <c r="B13" s="1"/>
      <c r="C13" s="32">
        <f t="shared" si="7"/>
        <v>0.70099999999999996</v>
      </c>
      <c r="D13" s="10">
        <f t="shared" si="4"/>
        <v>2</v>
      </c>
      <c r="E13" s="9">
        <f t="shared" si="5"/>
        <v>1.4019999999999999</v>
      </c>
      <c r="F13">
        <f t="shared" si="0"/>
        <v>3.4020000000000001</v>
      </c>
      <c r="G13">
        <f t="shared" si="1"/>
        <v>0.41211052322163427</v>
      </c>
      <c r="H13" s="54">
        <f t="shared" si="2"/>
        <v>3.8905385038496934</v>
      </c>
      <c r="I13" s="128">
        <f t="shared" si="6"/>
        <v>3.6765588861379603</v>
      </c>
      <c r="J13" s="57"/>
      <c r="K13" s="8">
        <f t="shared" si="3"/>
        <v>2.774991800178098</v>
      </c>
      <c r="L13" s="9"/>
    </row>
    <row r="14" spans="1:13" x14ac:dyDescent="0.25">
      <c r="A14" s="4" t="s">
        <v>20</v>
      </c>
      <c r="B14">
        <v>0.1</v>
      </c>
      <c r="C14" s="32">
        <f t="shared" si="7"/>
        <v>0.80099999999999993</v>
      </c>
      <c r="D14" s="10">
        <f t="shared" si="4"/>
        <v>2</v>
      </c>
      <c r="E14" s="9">
        <f t="shared" si="5"/>
        <v>1.6019999999999999</v>
      </c>
      <c r="F14">
        <f t="shared" si="0"/>
        <v>3.6019999999999999</v>
      </c>
      <c r="G14">
        <f t="shared" si="1"/>
        <v>0.444752915047196</v>
      </c>
      <c r="H14" s="54">
        <f t="shared" si="2"/>
        <v>4.6182428376523861</v>
      </c>
      <c r="I14" s="128">
        <f t="shared" si="6"/>
        <v>4.4906920419062359</v>
      </c>
      <c r="J14" s="57"/>
      <c r="K14" s="8">
        <f t="shared" si="3"/>
        <v>2.8827982756881312</v>
      </c>
      <c r="L14" s="9"/>
    </row>
    <row r="15" spans="1:13" x14ac:dyDescent="0.25">
      <c r="A15" s="4"/>
      <c r="B15" s="1"/>
      <c r="C15" s="32">
        <f t="shared" si="7"/>
        <v>0.90099999999999991</v>
      </c>
      <c r="D15" s="10">
        <f t="shared" si="4"/>
        <v>2</v>
      </c>
      <c r="E15" s="9">
        <f t="shared" si="5"/>
        <v>1.8019999999999998</v>
      </c>
      <c r="F15">
        <f t="shared" si="0"/>
        <v>3.8019999999999996</v>
      </c>
      <c r="G15">
        <f t="shared" si="1"/>
        <v>0.47396107311941083</v>
      </c>
      <c r="H15" s="54">
        <f t="shared" si="2"/>
        <v>5.3626688006209822</v>
      </c>
      <c r="I15" s="128">
        <f t="shared" si="6"/>
        <v>5.3573705478751412</v>
      </c>
      <c r="J15" s="57"/>
      <c r="K15" s="8">
        <f t="shared" si="3"/>
        <v>2.9759538294234087</v>
      </c>
      <c r="L15" s="9"/>
    </row>
    <row r="16" spans="1:13" x14ac:dyDescent="0.25">
      <c r="C16" s="32">
        <f t="shared" si="7"/>
        <v>1.0009999999999999</v>
      </c>
      <c r="D16" s="10">
        <f t="shared" si="4"/>
        <v>2</v>
      </c>
      <c r="E16" s="9">
        <f t="shared" si="5"/>
        <v>2.0019999999999998</v>
      </c>
      <c r="F16">
        <f t="shared" si="0"/>
        <v>4.0019999999999998</v>
      </c>
      <c r="G16">
        <f t="shared" si="1"/>
        <v>0.50024987506246876</v>
      </c>
      <c r="H16" s="54">
        <f t="shared" si="2"/>
        <v>6.1208596248832752</v>
      </c>
      <c r="I16" s="128">
        <f t="shared" si="6"/>
        <v>6.2735825298819474</v>
      </c>
      <c r="J16" s="125"/>
      <c r="K16" s="8">
        <f t="shared" si="3"/>
        <v>3.0573724400016364</v>
      </c>
      <c r="L16" s="16"/>
      <c r="M16" s="22"/>
    </row>
    <row r="17" spans="1:12" x14ac:dyDescent="0.25">
      <c r="C17" s="32">
        <f t="shared" si="7"/>
        <v>1.101</v>
      </c>
      <c r="D17" s="10">
        <f t="shared" si="4"/>
        <v>2</v>
      </c>
      <c r="E17" s="9">
        <f t="shared" si="5"/>
        <v>2.202</v>
      </c>
      <c r="F17">
        <f t="shared" si="0"/>
        <v>4.202</v>
      </c>
      <c r="G17">
        <f t="shared" si="1"/>
        <v>0.52403617325083296</v>
      </c>
      <c r="H17" s="54">
        <f t="shared" si="2"/>
        <v>6.890532729195864</v>
      </c>
      <c r="I17" s="128">
        <f t="shared" si="6"/>
        <v>7.2367817938113896</v>
      </c>
      <c r="J17" s="125"/>
      <c r="K17" s="8">
        <f t="shared" si="3"/>
        <v>3.1292155900072043</v>
      </c>
      <c r="L17" s="16"/>
    </row>
    <row r="18" spans="1:12" x14ac:dyDescent="0.25">
      <c r="A18" s="3" t="s">
        <v>22</v>
      </c>
      <c r="C18" s="32">
        <f t="shared" si="7"/>
        <v>1.2010000000000001</v>
      </c>
      <c r="D18" s="10">
        <f t="shared" si="4"/>
        <v>2</v>
      </c>
      <c r="E18" s="9">
        <f t="shared" si="5"/>
        <v>2.4020000000000001</v>
      </c>
      <c r="F18">
        <f t="shared" si="0"/>
        <v>4.4020000000000001</v>
      </c>
      <c r="G18">
        <f t="shared" si="1"/>
        <v>0.54566106315311225</v>
      </c>
      <c r="H18" s="54">
        <f t="shared" si="2"/>
        <v>7.6698935682847313</v>
      </c>
      <c r="I18" s="128">
        <f t="shared" si="6"/>
        <v>8.2447788389525662</v>
      </c>
      <c r="J18" s="126"/>
      <c r="K18" s="8">
        <f t="shared" si="3"/>
        <v>3.1931280467463492</v>
      </c>
      <c r="L18" s="9"/>
    </row>
    <row r="19" spans="1:12" x14ac:dyDescent="0.25">
      <c r="A19" s="3" t="s">
        <v>23</v>
      </c>
      <c r="B19" s="9"/>
      <c r="C19" s="32">
        <f t="shared" si="7"/>
        <v>1.3010000000000002</v>
      </c>
      <c r="D19" s="10">
        <f t="shared" si="4"/>
        <v>2</v>
      </c>
      <c r="E19" s="9">
        <f t="shared" si="5"/>
        <v>2.6020000000000003</v>
      </c>
      <c r="F19">
        <f t="shared" si="0"/>
        <v>4.6020000000000003</v>
      </c>
      <c r="G19">
        <f t="shared" si="1"/>
        <v>0.56540634506736209</v>
      </c>
      <c r="H19" s="54">
        <f t="shared" si="2"/>
        <v>8.4575092832958134</v>
      </c>
      <c r="I19" s="128">
        <f t="shared" si="6"/>
        <v>9.29566457415714</v>
      </c>
      <c r="J19" s="126"/>
      <c r="K19" s="8">
        <f t="shared" si="3"/>
        <v>3.2503878875079986</v>
      </c>
      <c r="L19" s="9"/>
    </row>
    <row r="20" spans="1:12" x14ac:dyDescent="0.25">
      <c r="A20" s="3" t="s">
        <v>24</v>
      </c>
      <c r="C20" s="32">
        <f t="shared" si="7"/>
        <v>1.4010000000000002</v>
      </c>
      <c r="D20" s="10">
        <f t="shared" si="4"/>
        <v>2</v>
      </c>
      <c r="E20" s="9">
        <f t="shared" si="5"/>
        <v>2.8020000000000005</v>
      </c>
      <c r="F20">
        <f t="shared" si="0"/>
        <v>4.8020000000000005</v>
      </c>
      <c r="G20">
        <f t="shared" si="1"/>
        <v>0.58350687213660979</v>
      </c>
      <c r="H20" s="54">
        <f t="shared" si="2"/>
        <v>9.2522204184561225</v>
      </c>
      <c r="I20" s="128">
        <f t="shared" si="6"/>
        <v>10.387755101427837</v>
      </c>
      <c r="J20" s="126"/>
      <c r="K20" s="8">
        <f t="shared" si="3"/>
        <v>3.3020058595489368</v>
      </c>
      <c r="L20" s="9"/>
    </row>
    <row r="21" spans="1:12" x14ac:dyDescent="0.25">
      <c r="C21" s="32">
        <f t="shared" si="7"/>
        <v>1.5010000000000003</v>
      </c>
      <c r="D21" s="10">
        <f t="shared" si="4"/>
        <v>2</v>
      </c>
      <c r="E21" s="9">
        <f t="shared" si="5"/>
        <v>3.0020000000000007</v>
      </c>
      <c r="F21">
        <f t="shared" si="0"/>
        <v>5.0020000000000007</v>
      </c>
      <c r="G21">
        <f t="shared" si="1"/>
        <v>0.60015993602558981</v>
      </c>
      <c r="H21" s="54">
        <f t="shared" si="2"/>
        <v>10.053077721549393</v>
      </c>
      <c r="I21" s="128">
        <f t="shared" si="6"/>
        <v>11.519550625750993</v>
      </c>
      <c r="J21" s="126"/>
      <c r="K21" s="8">
        <f t="shared" si="3"/>
        <v>3.3487933782642871</v>
      </c>
      <c r="L21" s="9"/>
    </row>
    <row r="22" spans="1:12" x14ac:dyDescent="0.25">
      <c r="C22" s="32">
        <f t="shared" si="7"/>
        <v>1.6010000000000004</v>
      </c>
      <c r="D22" s="10">
        <f t="shared" si="4"/>
        <v>2</v>
      </c>
      <c r="E22" s="9">
        <f t="shared" si="5"/>
        <v>3.2020000000000008</v>
      </c>
      <c r="F22">
        <f t="shared" si="0"/>
        <v>5.2020000000000008</v>
      </c>
      <c r="G22">
        <f t="shared" si="1"/>
        <v>0.61553248750480594</v>
      </c>
      <c r="H22" s="54">
        <f t="shared" si="2"/>
        <v>10.859295956279743</v>
      </c>
      <c r="I22" s="128">
        <f t="shared" si="6"/>
        <v>12.689704156962845</v>
      </c>
      <c r="J22" s="126"/>
      <c r="K22" s="8">
        <f t="shared" si="3"/>
        <v>3.3914103548656276</v>
      </c>
      <c r="L22" s="9"/>
    </row>
    <row r="23" spans="1:12" x14ac:dyDescent="0.25">
      <c r="C23" s="32">
        <f t="shared" si="7"/>
        <v>1.7010000000000005</v>
      </c>
      <c r="D23" s="10">
        <f t="shared" si="4"/>
        <v>2</v>
      </c>
      <c r="E23" s="9">
        <f t="shared" si="5"/>
        <v>3.402000000000001</v>
      </c>
      <c r="F23">
        <f t="shared" si="0"/>
        <v>5.402000000000001</v>
      </c>
      <c r="G23">
        <f t="shared" si="1"/>
        <v>0.62976675305442431</v>
      </c>
      <c r="H23" s="54">
        <f t="shared" si="2"/>
        <v>11.670219537646577</v>
      </c>
      <c r="I23" s="128">
        <f t="shared" si="6"/>
        <v>13.896997192316048</v>
      </c>
      <c r="J23" s="126"/>
      <c r="K23" s="8">
        <f t="shared" si="3"/>
        <v>3.4303996289378524</v>
      </c>
      <c r="L23" s="9"/>
    </row>
    <row r="24" spans="1:12" x14ac:dyDescent="0.25">
      <c r="C24" s="32">
        <f t="shared" si="7"/>
        <v>1.8010000000000006</v>
      </c>
      <c r="D24" s="10">
        <f t="shared" si="4"/>
        <v>2</v>
      </c>
      <c r="E24" s="9">
        <f t="shared" si="5"/>
        <v>3.6020000000000012</v>
      </c>
      <c r="F24">
        <f t="shared" si="0"/>
        <v>5.6020000000000012</v>
      </c>
      <c r="G24">
        <f t="shared" si="1"/>
        <v>0.64298464833987867</v>
      </c>
      <c r="H24" s="54">
        <f t="shared" si="2"/>
        <v>12.485296559275666</v>
      </c>
      <c r="I24" s="128">
        <f t="shared" si="6"/>
        <v>15.140320496450538</v>
      </c>
      <c r="J24" s="126"/>
      <c r="K24" s="8">
        <f t="shared" si="3"/>
        <v>3.4662122596545424</v>
      </c>
      <c r="L24" s="9"/>
    </row>
    <row r="25" spans="1:12" x14ac:dyDescent="0.25">
      <c r="C25" s="32">
        <f t="shared" si="7"/>
        <v>1.9010000000000007</v>
      </c>
      <c r="D25" s="10">
        <f t="shared" si="4"/>
        <v>2</v>
      </c>
      <c r="E25" s="9">
        <f t="shared" si="5"/>
        <v>3.8020000000000014</v>
      </c>
      <c r="F25">
        <f t="shared" si="0"/>
        <v>5.8020000000000014</v>
      </c>
      <c r="G25">
        <f t="shared" si="1"/>
        <v>0.65529127886935545</v>
      </c>
      <c r="H25" s="54">
        <f t="shared" si="2"/>
        <v>13.304058888197821</v>
      </c>
      <c r="I25" s="128">
        <f t="shared" si="6"/>
        <v>16.418658681732815</v>
      </c>
      <c r="J25" s="126"/>
      <c r="K25" s="8">
        <f t="shared" si="3"/>
        <v>3.4992264303518716</v>
      </c>
      <c r="L25" s="9"/>
    </row>
    <row r="26" spans="1:12" x14ac:dyDescent="0.25">
      <c r="C26" s="32">
        <f t="shared" si="7"/>
        <v>2.0010000000000008</v>
      </c>
      <c r="D26" s="10">
        <f t="shared" si="4"/>
        <v>2</v>
      </c>
      <c r="E26" s="9">
        <f t="shared" si="5"/>
        <v>4.0020000000000016</v>
      </c>
      <c r="F26">
        <f t="shared" si="0"/>
        <v>6.0020000000000016</v>
      </c>
      <c r="G26">
        <f t="shared" si="1"/>
        <v>0.66677774075308238</v>
      </c>
      <c r="H26" s="54">
        <f t="shared" si="2"/>
        <v>14.126106718524566</v>
      </c>
      <c r="I26" s="128">
        <f t="shared" si="6"/>
        <v>17.731077673938504</v>
      </c>
      <c r="J26" s="126"/>
      <c r="K26" s="8">
        <f t="shared" si="3"/>
        <v>3.5297617987317742</v>
      </c>
      <c r="L26" s="9"/>
    </row>
    <row r="27" spans="1:12" x14ac:dyDescent="0.25">
      <c r="C27" s="32">
        <f t="shared" si="7"/>
        <v>2.1010000000000009</v>
      </c>
      <c r="D27" s="10">
        <f t="shared" si="4"/>
        <v>2</v>
      </c>
      <c r="E27" s="9">
        <f>C27*D27</f>
        <v>4.2020000000000017</v>
      </c>
      <c r="F27">
        <f t="shared" si="0"/>
        <v>6.2020000000000017</v>
      </c>
      <c r="G27">
        <f t="shared" si="1"/>
        <v>0.67752337955498232</v>
      </c>
      <c r="H27" s="54">
        <f t="shared" si="2"/>
        <v>14.951096449917589</v>
      </c>
      <c r="I27" s="128">
        <f t="shared" si="6"/>
        <v>19.076714403985829</v>
      </c>
      <c r="J27" s="126"/>
      <c r="K27" s="8">
        <f t="shared" si="3"/>
        <v>3.5580905401993297</v>
      </c>
      <c r="L27" s="9"/>
    </row>
    <row r="28" spans="1:12" x14ac:dyDescent="0.25">
      <c r="C28" s="32">
        <f t="shared" si="7"/>
        <v>2.201000000000001</v>
      </c>
      <c r="D28" s="10">
        <f t="shared" si="4"/>
        <v>2</v>
      </c>
      <c r="E28" s="9">
        <f>C28*D28</f>
        <v>4.4020000000000019</v>
      </c>
      <c r="F28">
        <f t="shared" si="0"/>
        <v>6.4020000000000019</v>
      </c>
      <c r="G28">
        <f t="shared" si="1"/>
        <v>0.68759762574195571</v>
      </c>
      <c r="H28" s="54">
        <f t="shared" si="2"/>
        <v>15.778731077842879</v>
      </c>
      <c r="I28" s="128">
        <f t="shared" si="6"/>
        <v>20.454768241738659</v>
      </c>
      <c r="J28" s="126"/>
      <c r="K28" s="8">
        <f t="shared" si="3"/>
        <v>3.5844459513500393</v>
      </c>
      <c r="L28" s="9"/>
    </row>
    <row r="29" spans="1:12" x14ac:dyDescent="0.25">
      <c r="C29" s="32">
        <f t="shared" si="7"/>
        <v>2.301000000000001</v>
      </c>
      <c r="D29" s="10">
        <f t="shared" si="4"/>
        <v>2</v>
      </c>
      <c r="E29" s="9">
        <f>C29*D29</f>
        <v>4.6020000000000021</v>
      </c>
      <c r="F29">
        <f t="shared" si="0"/>
        <v>6.6020000000000021</v>
      </c>
      <c r="G29">
        <f t="shared" si="1"/>
        <v>0.6970614965162073</v>
      </c>
      <c r="H29" s="54">
        <f t="shared" si="2"/>
        <v>16.608752504014614</v>
      </c>
      <c r="I29" s="128">
        <f t="shared" si="6"/>
        <v>21.864493810633729</v>
      </c>
      <c r="J29" s="126"/>
      <c r="K29" s="8">
        <f t="shared" si="3"/>
        <v>3.6090292272956557</v>
      </c>
      <c r="L29" s="9"/>
    </row>
    <row r="30" spans="1:12" x14ac:dyDescent="0.25">
      <c r="C30" s="32">
        <f t="shared" si="7"/>
        <v>2.4010000000000011</v>
      </c>
      <c r="D30" s="10">
        <f t="shared" si="4"/>
        <v>2</v>
      </c>
      <c r="E30" s="9">
        <f>C30*D30</f>
        <v>4.8020000000000023</v>
      </c>
      <c r="F30">
        <f t="shared" si="0"/>
        <v>6.8020000000000023</v>
      </c>
      <c r="G30">
        <f t="shared" si="1"/>
        <v>0.70596883269626587</v>
      </c>
      <c r="H30" s="54">
        <f t="shared" si="2"/>
        <v>17.440935330696199</v>
      </c>
      <c r="I30" s="128">
        <f t="shared" si="6"/>
        <v>23.305194909445422</v>
      </c>
      <c r="J30" s="126"/>
      <c r="K30" s="8">
        <f t="shared" si="3"/>
        <v>3.6320148543723847</v>
      </c>
      <c r="L30" s="9"/>
    </row>
    <row r="31" spans="1:12" x14ac:dyDescent="0.25">
      <c r="C31" s="32">
        <f t="shared" si="7"/>
        <v>2.5010000000000012</v>
      </c>
      <c r="D31" s="10">
        <f t="shared" si="4"/>
        <v>2</v>
      </c>
      <c r="E31" s="9">
        <f>C31*D31</f>
        <v>5.0020000000000024</v>
      </c>
      <c r="F31">
        <f t="shared" si="0"/>
        <v>7.0020000000000024</v>
      </c>
      <c r="G31">
        <f t="shared" si="1"/>
        <v>0.71436732362182243</v>
      </c>
      <c r="H31" s="54">
        <f t="shared" si="2"/>
        <v>18.27508181306268</v>
      </c>
      <c r="I31" s="128">
        <f t="shared" si="6"/>
        <v>24.776219331028717</v>
      </c>
      <c r="J31" s="126"/>
      <c r="K31" s="8">
        <f t="shared" si="3"/>
        <v>3.6535549406362797</v>
      </c>
      <c r="L31" s="9"/>
    </row>
    <row r="32" spans="1:12" x14ac:dyDescent="0.25">
      <c r="C32" s="32">
        <f t="shared" si="7"/>
        <v>2.6010000000000013</v>
      </c>
      <c r="D32" s="10">
        <f t="shared" si="4"/>
        <v>2</v>
      </c>
      <c r="E32" s="9">
        <f t="shared" ref="E32:E42" si="8">C32*D32</f>
        <v>5.2020000000000026</v>
      </c>
      <c r="F32">
        <f t="shared" si="0"/>
        <v>7.2020000000000026</v>
      </c>
      <c r="G32">
        <f t="shared" si="1"/>
        <v>0.72229936128853112</v>
      </c>
      <c r="H32" s="54">
        <f t="shared" si="2"/>
        <v>19.111017723614538</v>
      </c>
      <c r="I32" s="128">
        <f t="shared" si="6"/>
        <v>26.276954414681338</v>
      </c>
      <c r="J32" s="126"/>
      <c r="K32" s="8">
        <f t="shared" si="3"/>
        <v>3.6737827227248228</v>
      </c>
      <c r="L32" s="9"/>
    </row>
    <row r="33" spans="1:12" x14ac:dyDescent="0.25">
      <c r="C33" s="32">
        <f t="shared" si="7"/>
        <v>2.7010000000000014</v>
      </c>
      <c r="D33" s="10">
        <f t="shared" si="4"/>
        <v>2</v>
      </c>
      <c r="E33" s="9">
        <f t="shared" si="8"/>
        <v>5.4020000000000028</v>
      </c>
      <c r="F33">
        <f t="shared" si="0"/>
        <v>7.4020000000000028</v>
      </c>
      <c r="G33">
        <f t="shared" si="1"/>
        <v>0.72980275601188882</v>
      </c>
      <c r="H33" s="54">
        <f t="shared" si="2"/>
        <v>19.948588940951701</v>
      </c>
      <c r="I33" s="128">
        <f t="shared" si="6"/>
        <v>27.806823203725397</v>
      </c>
      <c r="J33" s="126"/>
      <c r="K33" s="8">
        <f t="shared" si="3"/>
        <v>3.692815427795574</v>
      </c>
      <c r="L33" s="9"/>
    </row>
    <row r="34" spans="1:12" x14ac:dyDescent="0.25">
      <c r="C34" s="32">
        <f t="shared" si="7"/>
        <v>2.8010000000000015</v>
      </c>
      <c r="D34" s="10">
        <f t="shared" si="4"/>
        <v>2</v>
      </c>
      <c r="E34" s="9">
        <f t="shared" si="8"/>
        <v>5.602000000000003</v>
      </c>
      <c r="F34">
        <f t="shared" si="0"/>
        <v>7.602000000000003</v>
      </c>
      <c r="G34">
        <f t="shared" si="1"/>
        <v>0.73691133912128393</v>
      </c>
      <c r="H34" s="54">
        <f t="shared" si="2"/>
        <v>20.787658618339115</v>
      </c>
      <c r="I34" s="128">
        <f t="shared" si="6"/>
        <v>29.365281106354857</v>
      </c>
      <c r="J34" s="126"/>
      <c r="K34" s="8">
        <f t="shared" si="3"/>
        <v>3.7107566259084441</v>
      </c>
      <c r="L34" s="9"/>
    </row>
    <row r="35" spans="1:12" x14ac:dyDescent="0.25">
      <c r="C35" s="32">
        <f t="shared" si="7"/>
        <v>2.9010000000000016</v>
      </c>
      <c r="D35" s="10">
        <f t="shared" si="4"/>
        <v>2</v>
      </c>
      <c r="E35" s="9">
        <f t="shared" si="8"/>
        <v>5.8020000000000032</v>
      </c>
      <c r="F35">
        <f t="shared" si="0"/>
        <v>7.8020000000000032</v>
      </c>
      <c r="G35">
        <f t="shared" si="1"/>
        <v>0.74365547295565249</v>
      </c>
      <c r="H35" s="54">
        <f t="shared" si="2"/>
        <v>21.628104819722751</v>
      </c>
      <c r="I35" s="128">
        <f t="shared" si="6"/>
        <v>30.951812978034773</v>
      </c>
      <c r="J35" s="126"/>
      <c r="K35" s="8">
        <f t="shared" si="3"/>
        <v>3.7276981764430781</v>
      </c>
      <c r="L35" s="9"/>
    </row>
    <row r="36" spans="1:12" x14ac:dyDescent="0.25">
      <c r="C36" s="32">
        <f t="shared" si="7"/>
        <v>3.0010000000000017</v>
      </c>
      <c r="D36" s="10">
        <f t="shared" si="4"/>
        <v>2</v>
      </c>
      <c r="E36" s="9">
        <f t="shared" si="8"/>
        <v>6.0020000000000033</v>
      </c>
      <c r="F36">
        <f t="shared" si="0"/>
        <v>8.0020000000000024</v>
      </c>
      <c r="G36">
        <f t="shared" si="1"/>
        <v>0.75006248437890544</v>
      </c>
      <c r="H36" s="54">
        <f t="shared" si="2"/>
        <v>22.469818535178785</v>
      </c>
      <c r="I36" s="128">
        <f t="shared" si="6"/>
        <v>32.565930559393536</v>
      </c>
      <c r="J36" s="126"/>
      <c r="K36" s="8">
        <f t="shared" si="3"/>
        <v>3.7437218485802686</v>
      </c>
      <c r="L36" s="9"/>
    </row>
    <row r="37" spans="1:12" x14ac:dyDescent="0.25">
      <c r="C37" s="32">
        <f t="shared" si="7"/>
        <v>3.1010000000000018</v>
      </c>
      <c r="D37" s="10">
        <f t="shared" si="4"/>
        <v>2</v>
      </c>
      <c r="E37" s="9">
        <f t="shared" si="8"/>
        <v>6.2020000000000035</v>
      </c>
      <c r="F37">
        <f t="shared" si="0"/>
        <v>8.2020000000000035</v>
      </c>
      <c r="G37">
        <f t="shared" si="1"/>
        <v>0.75615703486954411</v>
      </c>
      <c r="H37" s="54">
        <f t="shared" si="2"/>
        <v>23.312702006305951</v>
      </c>
      <c r="I37" s="128">
        <f t="shared" si="6"/>
        <v>34.207170215778476</v>
      </c>
      <c r="J37" s="126"/>
      <c r="K37" s="8">
        <f t="shared" si="3"/>
        <v>3.7589006782176617</v>
      </c>
      <c r="L37" s="9"/>
    </row>
    <row r="38" spans="1:12" x14ac:dyDescent="0.25">
      <c r="C38" s="32">
        <f t="shared" si="7"/>
        <v>3.2010000000000018</v>
      </c>
      <c r="D38" s="10">
        <f t="shared" si="4"/>
        <v>2</v>
      </c>
      <c r="E38" s="9">
        <f t="shared" si="8"/>
        <v>6.4020000000000037</v>
      </c>
      <c r="F38">
        <f t="shared" si="0"/>
        <v>8.4020000000000046</v>
      </c>
      <c r="G38">
        <f t="shared" si="1"/>
        <v>0.76196143775291603</v>
      </c>
      <c r="H38" s="54">
        <f t="shared" si="2"/>
        <v>24.156667306304399</v>
      </c>
      <c r="I38" s="128">
        <f t="shared" si="6"/>
        <v>35.875090934285339</v>
      </c>
      <c r="J38" s="126"/>
      <c r="K38" s="8">
        <f t="shared" si="3"/>
        <v>3.7733001103255837</v>
      </c>
      <c r="L38" s="9"/>
    </row>
    <row r="39" spans="1:12" x14ac:dyDescent="0.25">
      <c r="C39" s="32">
        <f t="shared" si="7"/>
        <v>3.3010000000000019</v>
      </c>
      <c r="D39" s="10">
        <f t="shared" si="4"/>
        <v>2</v>
      </c>
      <c r="E39" s="9">
        <f t="shared" si="8"/>
        <v>6.6020000000000039</v>
      </c>
      <c r="F39">
        <f t="shared" si="0"/>
        <v>8.6020000000000039</v>
      </c>
      <c r="G39">
        <f t="shared" si="1"/>
        <v>0.76749593117879578</v>
      </c>
      <c r="H39" s="54">
        <f t="shared" si="2"/>
        <v>25.001635130506259</v>
      </c>
      <c r="I39" s="128">
        <f t="shared" si="6"/>
        <v>37.569272541736055</v>
      </c>
      <c r="J39" s="126"/>
      <c r="K39" s="8">
        <f t="shared" si="3"/>
        <v>3.786978965541691</v>
      </c>
      <c r="L39" s="9"/>
    </row>
    <row r="40" spans="1:12" x14ac:dyDescent="0.25">
      <c r="C40" s="32">
        <f t="shared" si="7"/>
        <v>3.401000000000002</v>
      </c>
      <c r="D40" s="10">
        <f t="shared" si="4"/>
        <v>2</v>
      </c>
      <c r="E40" s="9">
        <f t="shared" si="8"/>
        <v>6.802000000000004</v>
      </c>
      <c r="F40">
        <f t="shared" si="0"/>
        <v>8.8020000000000032</v>
      </c>
      <c r="G40">
        <f t="shared" si="1"/>
        <v>0.77277891388320852</v>
      </c>
      <c r="H40" s="54">
        <f t="shared" si="2"/>
        <v>25.847533761722527</v>
      </c>
      <c r="I40" s="128">
        <f t="shared" si="6"/>
        <v>39.289314113219682</v>
      </c>
      <c r="J40" s="126"/>
      <c r="K40" s="8">
        <f t="shared" si="3"/>
        <v>3.7999902619409749</v>
      </c>
      <c r="L40" s="9"/>
    </row>
    <row r="41" spans="1:12" x14ac:dyDescent="0.25">
      <c r="C41" s="32">
        <f t="shared" si="7"/>
        <v>3.5010000000000021</v>
      </c>
      <c r="D41" s="10">
        <f t="shared" si="4"/>
        <v>2</v>
      </c>
      <c r="E41" s="9">
        <f t="shared" si="8"/>
        <v>7.0020000000000042</v>
      </c>
      <c r="F41">
        <f t="shared" si="0"/>
        <v>9.0020000000000042</v>
      </c>
      <c r="G41">
        <f t="shared" si="1"/>
        <v>0.77782714952232845</v>
      </c>
      <c r="H41" s="54">
        <f t="shared" si="2"/>
        <v>26.694298181527426</v>
      </c>
      <c r="I41" s="128">
        <f t="shared" si="6"/>
        <v>41.034832545768275</v>
      </c>
      <c r="J41" s="126"/>
      <c r="K41" s="8">
        <f t="shared" si="3"/>
        <v>3.8123819168133974</v>
      </c>
      <c r="L41" s="9"/>
    </row>
    <row r="42" spans="1:12" x14ac:dyDescent="0.25">
      <c r="C42" s="32">
        <f t="shared" si="7"/>
        <v>3.6010000000000022</v>
      </c>
      <c r="D42" s="10">
        <f t="shared" si="4"/>
        <v>2</v>
      </c>
      <c r="E42" s="9">
        <f t="shared" si="8"/>
        <v>7.2020000000000044</v>
      </c>
      <c r="F42">
        <f t="shared" si="0"/>
        <v>9.2020000000000053</v>
      </c>
      <c r="G42">
        <f t="shared" si="1"/>
        <v>0.78265594435992181</v>
      </c>
      <c r="H42" s="54">
        <f t="shared" si="2"/>
        <v>27.54186930394501</v>
      </c>
      <c r="I42" s="128">
        <f t="shared" si="6"/>
        <v>42.805461275767648</v>
      </c>
      <c r="J42" s="126"/>
      <c r="K42" s="8">
        <f t="shared" si="3"/>
        <v>3.8241973485066638</v>
      </c>
      <c r="L42" s="9"/>
    </row>
    <row r="43" spans="1:12" x14ac:dyDescent="0.25">
      <c r="E43" s="9"/>
      <c r="H43" s="47" t="s">
        <v>79</v>
      </c>
      <c r="J43" s="22"/>
    </row>
    <row r="44" spans="1:12" x14ac:dyDescent="0.25">
      <c r="E44" s="9"/>
      <c r="H44" s="27"/>
      <c r="J44" s="22"/>
    </row>
    <row r="45" spans="1:12" x14ac:dyDescent="0.25">
      <c r="A45" s="55" t="s">
        <v>70</v>
      </c>
      <c r="E45" s="9"/>
      <c r="H45" s="27"/>
      <c r="J45" s="22"/>
    </row>
    <row r="46" spans="1:12" x14ac:dyDescent="0.25">
      <c r="H46" s="27"/>
    </row>
    <row r="47" spans="1:12" x14ac:dyDescent="0.25">
      <c r="A47" s="3" t="s">
        <v>71</v>
      </c>
      <c r="B47" s="3">
        <v>10</v>
      </c>
      <c r="H47" s="27"/>
    </row>
    <row r="48" spans="1:12" x14ac:dyDescent="0.25">
      <c r="A48" s="26" t="s">
        <v>72</v>
      </c>
      <c r="B48" s="11">
        <v>2</v>
      </c>
      <c r="H48" s="27"/>
      <c r="L48" s="14"/>
    </row>
    <row r="49" spans="1:15" x14ac:dyDescent="0.25">
      <c r="A49" s="26" t="s">
        <v>73</v>
      </c>
      <c r="B49" s="3">
        <v>4</v>
      </c>
      <c r="C49" s="10" t="s">
        <v>6</v>
      </c>
      <c r="D49" s="12" t="s">
        <v>19</v>
      </c>
      <c r="E49" s="9" t="s">
        <v>21</v>
      </c>
      <c r="F49" t="s">
        <v>25</v>
      </c>
      <c r="G49" t="s">
        <v>8</v>
      </c>
      <c r="H49" s="23" t="s">
        <v>48</v>
      </c>
      <c r="I49" s="41" t="s">
        <v>9</v>
      </c>
      <c r="J49" s="22"/>
      <c r="K49" s="14" t="s">
        <v>76</v>
      </c>
      <c r="O49" s="129" t="s">
        <v>77</v>
      </c>
    </row>
    <row r="50" spans="1:15" x14ac:dyDescent="0.25">
      <c r="A50" s="38" t="s">
        <v>74</v>
      </c>
      <c r="B50" s="122">
        <f>(B49-B48)/B47/2</f>
        <v>0.1</v>
      </c>
      <c r="C50" s="32">
        <v>0.1</v>
      </c>
      <c r="D50" s="10">
        <f>$B$48+2*$B$50*C50</f>
        <v>2.02</v>
      </c>
      <c r="E50" s="9">
        <f>($B$48+D50)/2*C50</f>
        <v>0.20099999999999998</v>
      </c>
      <c r="F50">
        <f t="shared" ref="F50:F81" si="9">($B$48+2*K50)</f>
        <v>2.2009975124224179</v>
      </c>
      <c r="G50">
        <f t="shared" ref="G50:G81" si="10">E50/F50</f>
        <v>9.1322229518914527E-2</v>
      </c>
      <c r="H50" s="23">
        <f t="shared" ref="H50:H81" si="11">($B$52*8*9.81*G50*E50^2/$B$55)^0.5</f>
        <v>0.26256640761067107</v>
      </c>
      <c r="I50" s="42">
        <f t="shared" ref="I50:I81" si="12">H50/E50</f>
        <v>1.3063005353764732</v>
      </c>
      <c r="J50" s="22"/>
      <c r="K50">
        <f t="shared" ref="K50:K81" si="13">((($B$50*C50))^2+(C50^2))^0.5</f>
        <v>0.10049875621120891</v>
      </c>
      <c r="L50" s="23"/>
      <c r="M50" s="43"/>
      <c r="O50" s="129">
        <f>SQRT(9.81*E50^3/D50)</f>
        <v>0.19858795568604948</v>
      </c>
    </row>
    <row r="51" spans="1:15" x14ac:dyDescent="0.25">
      <c r="C51" s="32">
        <f>C50+$B$58</f>
        <v>0.15000000000000002</v>
      </c>
      <c r="D51" s="10">
        <f t="shared" ref="D51:D99" si="14">$B$48+2*$B$50*C51</f>
        <v>2.0299999999999998</v>
      </c>
      <c r="E51" s="9">
        <f t="shared" ref="E51:E99" si="15">($B$48+D51)/2*C51</f>
        <v>0.30225000000000002</v>
      </c>
      <c r="F51">
        <f t="shared" si="9"/>
        <v>2.3014962686336267</v>
      </c>
      <c r="G51">
        <f t="shared" si="10"/>
        <v>0.13132760809533814</v>
      </c>
      <c r="H51" s="23">
        <f t="shared" si="11"/>
        <v>0.47347731781465013</v>
      </c>
      <c r="I51" s="42">
        <f t="shared" si="12"/>
        <v>1.5665089092296116</v>
      </c>
      <c r="J51" s="22"/>
      <c r="K51">
        <f t="shared" si="13"/>
        <v>0.15074813431681336</v>
      </c>
      <c r="L51" s="23"/>
      <c r="M51" s="43"/>
      <c r="O51" s="129">
        <f t="shared" ref="O51:O99" si="16">SQRT(9.81*E51^3/D51)</f>
        <v>0.36528845714505465</v>
      </c>
    </row>
    <row r="52" spans="1:15" x14ac:dyDescent="0.25">
      <c r="A52" s="26" t="s">
        <v>75</v>
      </c>
      <c r="B52" s="3">
        <f>0.05/7</f>
        <v>7.1428571428571435E-3</v>
      </c>
      <c r="C52" s="32">
        <f t="shared" ref="C52:C99" si="17">C51+$B$58</f>
        <v>0.2</v>
      </c>
      <c r="D52" s="10">
        <f t="shared" si="14"/>
        <v>2.04</v>
      </c>
      <c r="E52" s="9">
        <f t="shared" si="15"/>
        <v>0.40400000000000003</v>
      </c>
      <c r="F52">
        <f t="shared" si="9"/>
        <v>2.4019950248448358</v>
      </c>
      <c r="G52">
        <f t="shared" si="10"/>
        <v>0.16819352072808627</v>
      </c>
      <c r="H52" s="23">
        <f t="shared" si="11"/>
        <v>0.71621077077646422</v>
      </c>
      <c r="I52" s="42">
        <f t="shared" si="12"/>
        <v>1.7727989375655053</v>
      </c>
      <c r="J52" s="22"/>
      <c r="K52">
        <f t="shared" si="13"/>
        <v>0.20099751242241781</v>
      </c>
      <c r="L52" s="23"/>
      <c r="M52" s="43"/>
      <c r="O52" s="129">
        <f t="shared" si="16"/>
        <v>0.56310770216300021</v>
      </c>
    </row>
    <row r="53" spans="1:15" x14ac:dyDescent="0.25">
      <c r="C53" s="32">
        <f t="shared" si="17"/>
        <v>0.25</v>
      </c>
      <c r="D53" s="10">
        <f t="shared" si="14"/>
        <v>2.0499999999999998</v>
      </c>
      <c r="E53" s="9">
        <f t="shared" si="15"/>
        <v>0.50624999999999998</v>
      </c>
      <c r="F53">
        <f t="shared" si="9"/>
        <v>2.5024937810560446</v>
      </c>
      <c r="G53">
        <f t="shared" si="10"/>
        <v>0.20229820502745227</v>
      </c>
      <c r="H53" s="23">
        <f t="shared" si="11"/>
        <v>0.98427374998733708</v>
      </c>
      <c r="I53" s="42">
        <f t="shared" si="12"/>
        <v>1.9442444444194313</v>
      </c>
      <c r="J53" s="22"/>
      <c r="K53">
        <f t="shared" si="13"/>
        <v>0.25124689052802224</v>
      </c>
      <c r="L53" s="23"/>
      <c r="M53" s="43"/>
      <c r="N53" s="40"/>
      <c r="O53" s="129">
        <f t="shared" si="16"/>
        <v>0.78796173446369822</v>
      </c>
    </row>
    <row r="54" spans="1:15" x14ac:dyDescent="0.25">
      <c r="A54" s="17" t="s">
        <v>7</v>
      </c>
      <c r="B54" s="18"/>
      <c r="C54" s="32">
        <f t="shared" si="17"/>
        <v>0.3</v>
      </c>
      <c r="D54" s="10">
        <f t="shared" si="14"/>
        <v>2.06</v>
      </c>
      <c r="E54" s="9">
        <f t="shared" si="15"/>
        <v>0.6090000000000001</v>
      </c>
      <c r="F54">
        <f t="shared" si="9"/>
        <v>2.6029925372672533</v>
      </c>
      <c r="G54">
        <f t="shared" si="10"/>
        <v>0.23396148520631471</v>
      </c>
      <c r="H54" s="23">
        <f t="shared" si="11"/>
        <v>1.2733398459506999</v>
      </c>
      <c r="I54" s="42">
        <f t="shared" si="12"/>
        <v>2.0908700261916251</v>
      </c>
      <c r="J54" s="22"/>
      <c r="K54">
        <f t="shared" si="13"/>
        <v>0.30149626863362672</v>
      </c>
      <c r="L54" s="23"/>
      <c r="M54" s="43"/>
      <c r="O54" s="129">
        <f t="shared" si="16"/>
        <v>1.0371148014578295</v>
      </c>
    </row>
    <row r="55" spans="1:15" x14ac:dyDescent="0.25">
      <c r="A55" s="3" t="s">
        <v>0</v>
      </c>
      <c r="B55" s="5">
        <v>0.03</v>
      </c>
      <c r="C55" s="32">
        <f t="shared" si="17"/>
        <v>0.35</v>
      </c>
      <c r="D55" s="10">
        <f t="shared" si="14"/>
        <v>2.0699999999999998</v>
      </c>
      <c r="E55" s="9">
        <f t="shared" si="15"/>
        <v>0.71225000000000005</v>
      </c>
      <c r="F55">
        <f t="shared" si="9"/>
        <v>2.7034912934784625</v>
      </c>
      <c r="G55">
        <f t="shared" si="10"/>
        <v>0.26345562928874078</v>
      </c>
      <c r="H55" s="23">
        <f t="shared" si="11"/>
        <v>1.5803054985984506</v>
      </c>
      <c r="I55" s="42">
        <f t="shared" si="12"/>
        <v>2.2187511387833632</v>
      </c>
      <c r="J55" s="22"/>
      <c r="K55">
        <f t="shared" si="13"/>
        <v>0.35174564673923114</v>
      </c>
      <c r="L55" s="23"/>
      <c r="M55" s="43"/>
      <c r="O55" s="129">
        <f t="shared" si="16"/>
        <v>1.3085731887491734</v>
      </c>
    </row>
    <row r="56" spans="1:15" x14ac:dyDescent="0.25">
      <c r="C56" s="32">
        <f t="shared" si="17"/>
        <v>0.39999999999999997</v>
      </c>
      <c r="D56" s="10">
        <f t="shared" si="14"/>
        <v>2.08</v>
      </c>
      <c r="E56" s="9">
        <f t="shared" si="15"/>
        <v>0.81599999999999995</v>
      </c>
      <c r="F56">
        <f t="shared" si="9"/>
        <v>2.8039900496896712</v>
      </c>
      <c r="G56">
        <f t="shared" si="10"/>
        <v>0.2910138714972651</v>
      </c>
      <c r="H56" s="23">
        <f t="shared" si="11"/>
        <v>1.9028381764577178</v>
      </c>
      <c r="I56" s="42">
        <f t="shared" si="12"/>
        <v>2.3319095299726937</v>
      </c>
      <c r="J56" s="22"/>
      <c r="K56">
        <f t="shared" si="13"/>
        <v>0.40199502484483557</v>
      </c>
      <c r="L56" s="23"/>
      <c r="M56" s="43"/>
      <c r="O56" s="129">
        <f t="shared" si="16"/>
        <v>1.6008036812320721</v>
      </c>
    </row>
    <row r="57" spans="1:15" x14ac:dyDescent="0.25">
      <c r="B57" s="1"/>
      <c r="C57" s="32">
        <f t="shared" si="17"/>
        <v>0.44999999999999996</v>
      </c>
      <c r="D57" s="10">
        <f t="shared" si="14"/>
        <v>2.09</v>
      </c>
      <c r="E57" s="9">
        <f t="shared" si="15"/>
        <v>0.9202499999999999</v>
      </c>
      <c r="F57">
        <f t="shared" si="9"/>
        <v>2.90448880590088</v>
      </c>
      <c r="G57">
        <f t="shared" si="10"/>
        <v>0.31683716533194473</v>
      </c>
      <c r="H57" s="23">
        <f t="shared" si="11"/>
        <v>2.2391270558571841</v>
      </c>
      <c r="I57" s="42">
        <f t="shared" si="12"/>
        <v>2.4331725681686329</v>
      </c>
      <c r="J57" s="22"/>
      <c r="K57">
        <f t="shared" si="13"/>
        <v>0.45224440295043999</v>
      </c>
      <c r="L57" s="23"/>
      <c r="M57" s="43"/>
      <c r="O57" s="129">
        <f t="shared" si="16"/>
        <v>1.9125821570217654</v>
      </c>
    </row>
    <row r="58" spans="1:15" x14ac:dyDescent="0.25">
      <c r="A58" s="4" t="s">
        <v>20</v>
      </c>
      <c r="B58" s="45">
        <v>0.05</v>
      </c>
      <c r="C58" s="32">
        <f t="shared" si="17"/>
        <v>0.49999999999999994</v>
      </c>
      <c r="D58" s="10">
        <f t="shared" si="14"/>
        <v>2.1</v>
      </c>
      <c r="E58" s="9">
        <f t="shared" si="15"/>
        <v>1.0249999999999997</v>
      </c>
      <c r="F58">
        <f t="shared" si="9"/>
        <v>3.0049875621120892</v>
      </c>
      <c r="G58">
        <f t="shared" si="10"/>
        <v>0.34109958155020348</v>
      </c>
      <c r="H58" s="23">
        <f t="shared" si="11"/>
        <v>2.58773208540652</v>
      </c>
      <c r="I58" s="42">
        <f t="shared" si="12"/>
        <v>2.5246166686892884</v>
      </c>
      <c r="J58" s="22"/>
      <c r="K58">
        <f t="shared" si="13"/>
        <v>0.50249378105604448</v>
      </c>
      <c r="L58" s="23"/>
      <c r="M58" s="43"/>
      <c r="O58" s="129">
        <f t="shared" si="16"/>
        <v>2.2429038396526426</v>
      </c>
    </row>
    <row r="59" spans="1:15" x14ac:dyDescent="0.25">
      <c r="A59" s="4"/>
      <c r="B59" s="1"/>
      <c r="C59" s="32">
        <f t="shared" si="17"/>
        <v>0.54999999999999993</v>
      </c>
      <c r="D59" s="10">
        <f t="shared" si="14"/>
        <v>2.11</v>
      </c>
      <c r="E59" s="9">
        <f t="shared" si="15"/>
        <v>1.1302499999999998</v>
      </c>
      <c r="F59">
        <f t="shared" si="9"/>
        <v>3.1054863183232979</v>
      </c>
      <c r="G59">
        <f t="shared" si="10"/>
        <v>0.36395265802048032</v>
      </c>
      <c r="H59" s="23">
        <f t="shared" si="11"/>
        <v>2.9474864375622238</v>
      </c>
      <c r="I59" s="42">
        <f t="shared" si="12"/>
        <v>2.6078181265757352</v>
      </c>
      <c r="J59" s="22"/>
      <c r="K59">
        <f t="shared" si="13"/>
        <v>0.55274315916164896</v>
      </c>
      <c r="L59" s="23"/>
      <c r="M59" s="43"/>
      <c r="O59" s="129">
        <f t="shared" si="16"/>
        <v>2.590926241118805</v>
      </c>
    </row>
    <row r="60" spans="1:15" x14ac:dyDescent="0.25">
      <c r="C60" s="32">
        <f t="shared" si="17"/>
        <v>0.6</v>
      </c>
      <c r="D60" s="10">
        <f t="shared" si="14"/>
        <v>2.12</v>
      </c>
      <c r="E60" s="9">
        <f t="shared" si="15"/>
        <v>1.236</v>
      </c>
      <c r="F60">
        <f t="shared" si="9"/>
        <v>3.2059850745345067</v>
      </c>
      <c r="G60">
        <f t="shared" si="10"/>
        <v>0.38552893144066214</v>
      </c>
      <c r="H60" s="23">
        <f t="shared" si="11"/>
        <v>3.3174303231602003</v>
      </c>
      <c r="I60" s="42">
        <f t="shared" si="12"/>
        <v>2.6840051158254048</v>
      </c>
      <c r="J60" s="22"/>
      <c r="K60">
        <f t="shared" si="13"/>
        <v>0.60299253726725344</v>
      </c>
      <c r="L60" s="23"/>
      <c r="M60" s="43"/>
      <c r="O60" s="129">
        <f t="shared" si="16"/>
        <v>2.9559309129210489</v>
      </c>
    </row>
    <row r="61" spans="1:15" x14ac:dyDescent="0.25">
      <c r="C61" s="32">
        <f t="shared" si="17"/>
        <v>0.65</v>
      </c>
      <c r="D61" s="10">
        <f t="shared" si="14"/>
        <v>2.13</v>
      </c>
      <c r="E61" s="9">
        <f t="shared" si="15"/>
        <v>1.3422499999999999</v>
      </c>
      <c r="F61">
        <f t="shared" si="9"/>
        <v>3.3064838307457158</v>
      </c>
      <c r="G61">
        <f t="shared" si="10"/>
        <v>0.40594482498868911</v>
      </c>
      <c r="H61" s="23">
        <f t="shared" si="11"/>
        <v>3.6967643663521743</v>
      </c>
      <c r="I61" s="42">
        <f t="shared" si="12"/>
        <v>2.7541548641103928</v>
      </c>
      <c r="J61" s="22"/>
      <c r="K61">
        <f t="shared" si="13"/>
        <v>0.65324191537285792</v>
      </c>
      <c r="L61" s="23"/>
      <c r="M61" s="43"/>
      <c r="O61" s="129">
        <f t="shared" si="16"/>
        <v>3.3372967146688075</v>
      </c>
    </row>
    <row r="62" spans="1:15" x14ac:dyDescent="0.25">
      <c r="A62" s="3" t="s">
        <v>22</v>
      </c>
      <c r="C62" s="32">
        <f t="shared" si="17"/>
        <v>0.70000000000000007</v>
      </c>
      <c r="D62" s="10">
        <f t="shared" si="14"/>
        <v>2.14</v>
      </c>
      <c r="E62" s="9">
        <f t="shared" si="15"/>
        <v>1.4490000000000003</v>
      </c>
      <c r="F62">
        <f t="shared" si="9"/>
        <v>3.406982586956925</v>
      </c>
      <c r="G62">
        <f t="shared" si="10"/>
        <v>0.42530302489577126</v>
      </c>
      <c r="H62" s="23">
        <f t="shared" si="11"/>
        <v>4.0848157617789393</v>
      </c>
      <c r="I62" s="42">
        <f t="shared" si="12"/>
        <v>2.8190584967418486</v>
      </c>
      <c r="J62" s="22"/>
      <c r="K62">
        <f t="shared" si="13"/>
        <v>0.7034912934784624</v>
      </c>
      <c r="L62" s="23"/>
      <c r="M62" s="43"/>
      <c r="O62" s="129">
        <f t="shared" si="16"/>
        <v>3.7344804927579589</v>
      </c>
    </row>
    <row r="63" spans="1:15" x14ac:dyDescent="0.25">
      <c r="A63" s="3" t="s">
        <v>23</v>
      </c>
      <c r="B63" s="9"/>
      <c r="C63" s="32">
        <f t="shared" si="17"/>
        <v>0.75000000000000011</v>
      </c>
      <c r="D63" s="10">
        <f t="shared" si="14"/>
        <v>2.15</v>
      </c>
      <c r="E63" s="9">
        <f t="shared" si="15"/>
        <v>1.5562500000000004</v>
      </c>
      <c r="F63">
        <f t="shared" si="9"/>
        <v>3.5074813431681338</v>
      </c>
      <c r="G63">
        <f t="shared" si="10"/>
        <v>0.44369444844838918</v>
      </c>
      <c r="H63" s="23">
        <f t="shared" si="11"/>
        <v>4.4810131029053162</v>
      </c>
      <c r="I63" s="42">
        <f t="shared" si="12"/>
        <v>2.8793658492564274</v>
      </c>
      <c r="J63" s="22"/>
      <c r="K63">
        <f t="shared" si="13"/>
        <v>0.75374067158406688</v>
      </c>
      <c r="L63" s="23"/>
      <c r="M63" s="43"/>
      <c r="O63" s="129">
        <f t="shared" si="16"/>
        <v>4.1470027216808392</v>
      </c>
    </row>
    <row r="64" spans="1:15" x14ac:dyDescent="0.25">
      <c r="A64" s="3" t="s">
        <v>24</v>
      </c>
      <c r="C64" s="32">
        <f t="shared" si="17"/>
        <v>0.80000000000000016</v>
      </c>
      <c r="D64" s="10">
        <f t="shared" si="14"/>
        <v>2.16</v>
      </c>
      <c r="E64" s="9">
        <f t="shared" si="15"/>
        <v>1.6640000000000004</v>
      </c>
      <c r="F64">
        <f t="shared" si="9"/>
        <v>3.6079800993793425</v>
      </c>
      <c r="G64">
        <f t="shared" si="10"/>
        <v>0.46119988308312665</v>
      </c>
      <c r="H64" s="23">
        <f t="shared" si="11"/>
        <v>4.884867275579456</v>
      </c>
      <c r="I64" s="42">
        <f t="shared" si="12"/>
        <v>2.935617353112653</v>
      </c>
      <c r="J64" s="22"/>
      <c r="K64">
        <f t="shared" si="13"/>
        <v>0.80399004968967136</v>
      </c>
      <c r="L64" s="23"/>
      <c r="M64" s="43"/>
      <c r="O64" s="129">
        <f t="shared" si="16"/>
        <v>4.5744365814090537</v>
      </c>
    </row>
    <row r="65" spans="3:15" x14ac:dyDescent="0.25">
      <c r="C65" s="32">
        <f t="shared" si="17"/>
        <v>0.8500000000000002</v>
      </c>
      <c r="D65" s="10">
        <f t="shared" si="14"/>
        <v>2.17</v>
      </c>
      <c r="E65" s="9">
        <f t="shared" si="15"/>
        <v>1.7722500000000003</v>
      </c>
      <c r="F65">
        <f t="shared" si="9"/>
        <v>3.7084788555905517</v>
      </c>
      <c r="G65">
        <f t="shared" si="10"/>
        <v>0.4778913589673901</v>
      </c>
      <c r="H65" s="23">
        <f t="shared" si="11"/>
        <v>5.2959567037513455</v>
      </c>
      <c r="I65" s="42">
        <f t="shared" si="12"/>
        <v>2.9882672894633062</v>
      </c>
      <c r="J65" s="22"/>
      <c r="K65">
        <f t="shared" si="13"/>
        <v>0.85423942779527595</v>
      </c>
      <c r="L65" s="23"/>
      <c r="M65" s="43"/>
      <c r="O65" s="129">
        <f t="shared" si="16"/>
        <v>5.0163994816763795</v>
      </c>
    </row>
    <row r="66" spans="3:15" x14ac:dyDescent="0.25">
      <c r="C66" s="32">
        <f t="shared" si="17"/>
        <v>0.90000000000000024</v>
      </c>
      <c r="D66" s="10">
        <f t="shared" si="14"/>
        <v>2.1800000000000002</v>
      </c>
      <c r="E66" s="9">
        <f t="shared" si="15"/>
        <v>1.8810000000000004</v>
      </c>
      <c r="F66">
        <f t="shared" si="9"/>
        <v>3.8089776118017609</v>
      </c>
      <c r="G66">
        <f t="shared" si="10"/>
        <v>0.49383330428929217</v>
      </c>
      <c r="H66" s="23">
        <f t="shared" si="11"/>
        <v>5.7139157863695988</v>
      </c>
      <c r="I66" s="42">
        <f t="shared" si="12"/>
        <v>3.0377011091810724</v>
      </c>
      <c r="J66" s="22"/>
      <c r="K66">
        <f t="shared" si="13"/>
        <v>0.90448880590088032</v>
      </c>
      <c r="L66" s="23"/>
      <c r="M66" s="43"/>
      <c r="O66" s="129">
        <f t="shared" si="16"/>
        <v>5.4725463711603233</v>
      </c>
    </row>
    <row r="67" spans="3:15" x14ac:dyDescent="0.25">
      <c r="C67" s="32">
        <f t="shared" si="17"/>
        <v>0.95000000000000029</v>
      </c>
      <c r="D67" s="10">
        <f t="shared" si="14"/>
        <v>2.19</v>
      </c>
      <c r="E67" s="9">
        <f t="shared" si="15"/>
        <v>1.9902500000000003</v>
      </c>
      <c r="F67">
        <f t="shared" si="9"/>
        <v>3.90947636801297</v>
      </c>
      <c r="G67">
        <f t="shared" si="10"/>
        <v>0.5090835223571295</v>
      </c>
      <c r="H67" s="23">
        <f t="shared" si="11"/>
        <v>6.1384257179858261</v>
      </c>
      <c r="I67" s="42">
        <f t="shared" si="12"/>
        <v>3.084248570775443</v>
      </c>
      <c r="J67" s="22"/>
      <c r="K67">
        <f t="shared" si="13"/>
        <v>0.95473818400648491</v>
      </c>
      <c r="L67" s="23"/>
      <c r="M67" s="43"/>
      <c r="O67" s="129">
        <f t="shared" si="16"/>
        <v>5.9425643760575992</v>
      </c>
    </row>
    <row r="68" spans="3:15" x14ac:dyDescent="0.25">
      <c r="C68" s="32">
        <f t="shared" si="17"/>
        <v>1.0000000000000002</v>
      </c>
      <c r="D68" s="10">
        <f t="shared" si="14"/>
        <v>2.2000000000000002</v>
      </c>
      <c r="E68" s="9">
        <f t="shared" si="15"/>
        <v>2.1000000000000005</v>
      </c>
      <c r="F68">
        <f t="shared" si="9"/>
        <v>4.0099751242241783</v>
      </c>
      <c r="G68">
        <f t="shared" si="10"/>
        <v>0.52369402176934798</v>
      </c>
      <c r="H68" s="23">
        <f t="shared" si="11"/>
        <v>6.5692071188143686</v>
      </c>
      <c r="I68" s="42">
        <f t="shared" si="12"/>
        <v>3.1281938661020794</v>
      </c>
      <c r="J68" s="22"/>
      <c r="K68">
        <f t="shared" si="13"/>
        <v>1.0049875621120892</v>
      </c>
      <c r="L68" s="23"/>
      <c r="M68" s="43"/>
      <c r="O68" s="129">
        <f t="shared" si="16"/>
        <v>6.4261684469900828</v>
      </c>
    </row>
    <row r="69" spans="3:15" x14ac:dyDescent="0.25">
      <c r="C69" s="32">
        <f t="shared" si="17"/>
        <v>1.0500000000000003</v>
      </c>
      <c r="D69" s="10">
        <f t="shared" si="14"/>
        <v>2.21</v>
      </c>
      <c r="E69" s="9">
        <f t="shared" si="15"/>
        <v>2.2102500000000007</v>
      </c>
      <c r="F69">
        <f t="shared" si="9"/>
        <v>4.1104738804353875</v>
      </c>
      <c r="G69">
        <f t="shared" si="10"/>
        <v>0.53771172480139628</v>
      </c>
      <c r="H69" s="23">
        <f t="shared" si="11"/>
        <v>7.0060140578713108</v>
      </c>
      <c r="I69" s="42">
        <f t="shared" si="12"/>
        <v>3.1697835348360179</v>
      </c>
      <c r="J69" s="22"/>
      <c r="K69">
        <f t="shared" si="13"/>
        <v>1.0552369402176938</v>
      </c>
      <c r="L69" s="23"/>
      <c r="M69" s="43"/>
      <c r="O69" s="129">
        <f t="shared" si="16"/>
        <v>6.9230977831057974</v>
      </c>
    </row>
    <row r="70" spans="3:15" x14ac:dyDescent="0.25">
      <c r="C70" s="32">
        <f t="shared" si="17"/>
        <v>1.1000000000000003</v>
      </c>
      <c r="D70" s="10">
        <f t="shared" si="14"/>
        <v>2.2200000000000002</v>
      </c>
      <c r="E70" s="9">
        <f t="shared" si="15"/>
        <v>2.3210000000000011</v>
      </c>
      <c r="F70">
        <f t="shared" si="9"/>
        <v>4.2109726366465967</v>
      </c>
      <c r="G70">
        <f t="shared" si="10"/>
        <v>0.5511790743547379</v>
      </c>
      <c r="H70" s="23">
        <f t="shared" si="11"/>
        <v>7.4486291621186052</v>
      </c>
      <c r="I70" s="42">
        <f t="shared" si="12"/>
        <v>3.2092327281855244</v>
      </c>
      <c r="J70" s="22"/>
      <c r="K70">
        <f t="shared" si="13"/>
        <v>1.1054863183232981</v>
      </c>
      <c r="L70" s="23"/>
      <c r="M70" s="43"/>
      <c r="O70" s="129">
        <f t="shared" si="16"/>
        <v>7.4331128638398303</v>
      </c>
    </row>
    <row r="71" spans="3:15" x14ac:dyDescent="0.25">
      <c r="C71" s="32">
        <f t="shared" si="17"/>
        <v>1.1500000000000004</v>
      </c>
      <c r="D71" s="10">
        <f t="shared" si="14"/>
        <v>2.23</v>
      </c>
      <c r="E71" s="9">
        <f t="shared" si="15"/>
        <v>2.4322500000000011</v>
      </c>
      <c r="F71">
        <f t="shared" si="9"/>
        <v>4.3114713928578059</v>
      </c>
      <c r="G71">
        <f t="shared" si="10"/>
        <v>0.56413455601935791</v>
      </c>
      <c r="H71" s="23">
        <f t="shared" si="11"/>
        <v>7.8968595817207907</v>
      </c>
      <c r="I71" s="42">
        <f t="shared" si="12"/>
        <v>3.2467302216962843</v>
      </c>
      <c r="J71" s="22"/>
      <c r="K71">
        <f t="shared" si="13"/>
        <v>1.1557356964289027</v>
      </c>
      <c r="L71" s="23"/>
      <c r="M71" s="43"/>
      <c r="O71" s="129">
        <f t="shared" si="16"/>
        <v>7.9559929618947667</v>
      </c>
    </row>
    <row r="72" spans="3:15" x14ac:dyDescent="0.25">
      <c r="C72" s="32">
        <f t="shared" si="17"/>
        <v>1.2000000000000004</v>
      </c>
      <c r="D72" s="10">
        <f t="shared" si="14"/>
        <v>2.2400000000000002</v>
      </c>
      <c r="E72" s="9">
        <f t="shared" si="15"/>
        <v>2.5440000000000009</v>
      </c>
      <c r="F72">
        <f t="shared" si="9"/>
        <v>4.4119701490690151</v>
      </c>
      <c r="G72">
        <f t="shared" si="10"/>
        <v>0.57661314878497516</v>
      </c>
      <c r="H72" s="23">
        <f t="shared" si="11"/>
        <v>8.3505336369846539</v>
      </c>
      <c r="I72" s="42">
        <f t="shared" si="12"/>
        <v>3.2824424673681802</v>
      </c>
      <c r="J72" s="22"/>
      <c r="K72">
        <f t="shared" si="13"/>
        <v>1.2059850745345073</v>
      </c>
      <c r="L72" s="23"/>
      <c r="M72" s="43"/>
      <c r="O72" s="129">
        <f t="shared" si="16"/>
        <v>8.491534041721458</v>
      </c>
    </row>
    <row r="73" spans="3:15" x14ac:dyDescent="0.25">
      <c r="C73" s="32">
        <f t="shared" si="17"/>
        <v>1.2500000000000004</v>
      </c>
      <c r="D73" s="10">
        <f t="shared" si="14"/>
        <v>2.25</v>
      </c>
      <c r="E73" s="9">
        <f t="shared" si="15"/>
        <v>2.6562500000000009</v>
      </c>
      <c r="F73">
        <f t="shared" si="9"/>
        <v>4.5124689052802234</v>
      </c>
      <c r="G73">
        <f t="shared" si="10"/>
        <v>0.58864671552458003</v>
      </c>
      <c r="H73" s="23">
        <f t="shared" si="11"/>
        <v>8.8094980130343732</v>
      </c>
      <c r="I73" s="42">
        <f t="shared" si="12"/>
        <v>3.316516899024704</v>
      </c>
      <c r="J73" s="22"/>
      <c r="K73">
        <f t="shared" si="13"/>
        <v>1.2562344526401117</v>
      </c>
      <c r="L73" s="23"/>
      <c r="M73" s="43"/>
      <c r="O73" s="129">
        <f t="shared" si="16"/>
        <v>9.0395469700548716</v>
      </c>
    </row>
    <row r="74" spans="3:15" x14ac:dyDescent="0.25">
      <c r="C74" s="32">
        <f t="shared" si="17"/>
        <v>1.3000000000000005</v>
      </c>
      <c r="D74" s="10">
        <f t="shared" si="14"/>
        <v>2.2600000000000002</v>
      </c>
      <c r="E74" s="9">
        <f t="shared" si="15"/>
        <v>2.769000000000001</v>
      </c>
      <c r="F74">
        <f t="shared" si="9"/>
        <v>4.6129676614914326</v>
      </c>
      <c r="G74">
        <f t="shared" si="10"/>
        <v>0.60026434243520088</v>
      </c>
      <c r="H74" s="23">
        <f t="shared" si="11"/>
        <v>9.2736153982397269</v>
      </c>
      <c r="I74" s="42">
        <f t="shared" si="12"/>
        <v>3.3490846508630274</v>
      </c>
      <c r="J74" s="22"/>
      <c r="K74">
        <f t="shared" si="13"/>
        <v>1.3064838307457163</v>
      </c>
      <c r="L74" s="23"/>
      <c r="M74" s="43"/>
      <c r="O74" s="129">
        <f t="shared" si="16"/>
        <v>9.5998559814577522</v>
      </c>
    </row>
    <row r="75" spans="3:15" x14ac:dyDescent="0.25">
      <c r="C75" s="32">
        <f t="shared" si="17"/>
        <v>1.3500000000000005</v>
      </c>
      <c r="D75" s="10">
        <f t="shared" si="14"/>
        <v>2.27</v>
      </c>
      <c r="E75" s="9">
        <f t="shared" si="15"/>
        <v>2.8822500000000009</v>
      </c>
      <c r="F75">
        <f t="shared" si="9"/>
        <v>4.7134664177026409</v>
      </c>
      <c r="G75">
        <f t="shared" si="10"/>
        <v>0.61149263505410079</v>
      </c>
      <c r="H75" s="23">
        <f t="shared" si="11"/>
        <v>9.7427624848772822</v>
      </c>
      <c r="I75" s="42">
        <f t="shared" si="12"/>
        <v>3.3802628102618715</v>
      </c>
      <c r="J75" s="22"/>
      <c r="K75">
        <f t="shared" si="13"/>
        <v>1.3567332088513206</v>
      </c>
      <c r="L75" s="23"/>
      <c r="M75" s="43"/>
      <c r="O75" s="129">
        <f t="shared" si="16"/>
        <v>10.172297354065797</v>
      </c>
    </row>
    <row r="76" spans="3:15" x14ac:dyDescent="0.25">
      <c r="C76" s="32">
        <f t="shared" si="17"/>
        <v>1.4000000000000006</v>
      </c>
      <c r="D76" s="10">
        <f t="shared" si="14"/>
        <v>2.2800000000000002</v>
      </c>
      <c r="E76" s="9">
        <f t="shared" si="15"/>
        <v>2.9960000000000013</v>
      </c>
      <c r="F76">
        <f t="shared" si="9"/>
        <v>4.81396517391385</v>
      </c>
      <c r="G76">
        <f t="shared" si="10"/>
        <v>0.62235597719627733</v>
      </c>
      <c r="H76" s="23">
        <f t="shared" si="11"/>
        <v>10.216828267537219</v>
      </c>
      <c r="I76" s="42">
        <f t="shared" si="12"/>
        <v>3.4101562975758393</v>
      </c>
      <c r="J76" s="22"/>
      <c r="K76">
        <f t="shared" si="13"/>
        <v>1.4069825869569252</v>
      </c>
      <c r="L76" s="23"/>
      <c r="M76" s="43"/>
      <c r="O76" s="129">
        <f t="shared" si="16"/>
        <v>10.756718259982071</v>
      </c>
    </row>
    <row r="77" spans="3:15" x14ac:dyDescent="0.25">
      <c r="C77" s="32">
        <f t="shared" si="17"/>
        <v>1.4500000000000006</v>
      </c>
      <c r="D77" s="10">
        <f t="shared" si="14"/>
        <v>2.29</v>
      </c>
      <c r="E77" s="9">
        <f t="shared" si="15"/>
        <v>3.1102500000000015</v>
      </c>
      <c r="F77">
        <f t="shared" si="9"/>
        <v>4.9144639301250592</v>
      </c>
      <c r="G77">
        <f t="shared" si="10"/>
        <v>0.63287675812097255</v>
      </c>
      <c r="H77" s="23">
        <f t="shared" si="11"/>
        <v>10.695712587839836</v>
      </c>
      <c r="I77" s="42">
        <f t="shared" si="12"/>
        <v>3.4388594446876715</v>
      </c>
      <c r="J77" s="22"/>
      <c r="K77">
        <f t="shared" si="13"/>
        <v>1.4572319650625296</v>
      </c>
      <c r="L77" s="23"/>
      <c r="M77" s="43"/>
      <c r="O77" s="129">
        <f t="shared" si="16"/>
        <v>11.352975761846119</v>
      </c>
    </row>
    <row r="78" spans="3:15" x14ac:dyDescent="0.25">
      <c r="C78" s="32">
        <f t="shared" si="17"/>
        <v>1.5000000000000007</v>
      </c>
      <c r="D78" s="10">
        <f t="shared" si="14"/>
        <v>2.3000000000000003</v>
      </c>
      <c r="E78" s="9">
        <f t="shared" si="15"/>
        <v>3.2250000000000019</v>
      </c>
      <c r="F78">
        <f t="shared" si="9"/>
        <v>5.0149626863362684</v>
      </c>
      <c r="G78">
        <f t="shared" si="10"/>
        <v>0.64307557238398083</v>
      </c>
      <c r="H78" s="23">
        <f t="shared" si="11"/>
        <v>11.179324884123115</v>
      </c>
      <c r="I78" s="42">
        <f t="shared" si="12"/>
        <v>3.4664573284102662</v>
      </c>
      <c r="J78" s="22"/>
      <c r="K78">
        <f t="shared" si="13"/>
        <v>1.5074813431681342</v>
      </c>
      <c r="L78" s="23"/>
      <c r="M78" s="43"/>
      <c r="O78" s="129">
        <f t="shared" si="16"/>
        <v>11.960935932574523</v>
      </c>
    </row>
    <row r="79" spans="3:15" x14ac:dyDescent="0.25">
      <c r="C79" s="32">
        <f t="shared" si="17"/>
        <v>1.5500000000000007</v>
      </c>
      <c r="D79" s="10">
        <f t="shared" si="14"/>
        <v>2.31</v>
      </c>
      <c r="E79" s="9">
        <f t="shared" si="15"/>
        <v>3.3402500000000019</v>
      </c>
      <c r="F79">
        <f t="shared" si="9"/>
        <v>5.1154614425474776</v>
      </c>
      <c r="G79">
        <f t="shared" si="10"/>
        <v>0.65297139613207056</v>
      </c>
      <c r="H79" s="23">
        <f t="shared" si="11"/>
        <v>11.667583112643467</v>
      </c>
      <c r="I79" s="42">
        <f t="shared" si="12"/>
        <v>3.4930269029693766</v>
      </c>
      <c r="J79" s="22"/>
      <c r="K79">
        <f t="shared" si="13"/>
        <v>1.5577307212737386</v>
      </c>
      <c r="L79" s="23"/>
      <c r="M79" s="43"/>
      <c r="O79" s="129">
        <f t="shared" si="16"/>
        <v>12.580473079540784</v>
      </c>
    </row>
    <row r="80" spans="3:15" x14ac:dyDescent="0.25">
      <c r="C80" s="32">
        <f t="shared" si="17"/>
        <v>1.6000000000000008</v>
      </c>
      <c r="D80" s="10">
        <f t="shared" si="14"/>
        <v>2.3200000000000003</v>
      </c>
      <c r="E80" s="9">
        <f t="shared" si="15"/>
        <v>3.4560000000000017</v>
      </c>
      <c r="F80">
        <f t="shared" si="9"/>
        <v>5.2159601987586868</v>
      </c>
      <c r="G80">
        <f t="shared" si="10"/>
        <v>0.66258174301684147</v>
      </c>
      <c r="H80" s="23">
        <f t="shared" si="11"/>
        <v>12.160412813033343</v>
      </c>
      <c r="I80" s="42">
        <f t="shared" si="12"/>
        <v>3.5186379667341829</v>
      </c>
      <c r="J80" s="22"/>
      <c r="K80">
        <f t="shared" si="13"/>
        <v>1.6079800993793432</v>
      </c>
      <c r="L80" s="23"/>
      <c r="M80" s="43"/>
      <c r="O80" s="129">
        <f t="shared" si="16"/>
        <v>13.211469057827419</v>
      </c>
    </row>
    <row r="81" spans="3:15" x14ac:dyDescent="0.25">
      <c r="C81" s="32">
        <f t="shared" si="17"/>
        <v>1.6500000000000008</v>
      </c>
      <c r="D81" s="10">
        <f t="shared" si="14"/>
        <v>2.33</v>
      </c>
      <c r="E81" s="9">
        <f t="shared" si="15"/>
        <v>3.5722500000000017</v>
      </c>
      <c r="F81">
        <f t="shared" si="9"/>
        <v>5.316458954969896</v>
      </c>
      <c r="G81">
        <f t="shared" si="10"/>
        <v>0.67192280242483871</v>
      </c>
      <c r="H81" s="23">
        <f t="shared" si="11"/>
        <v>12.657746295676166</v>
      </c>
      <c r="I81" s="42">
        <f t="shared" si="12"/>
        <v>3.5433539913713092</v>
      </c>
      <c r="J81" s="22"/>
      <c r="K81">
        <f t="shared" si="13"/>
        <v>1.6582294774849478</v>
      </c>
      <c r="L81" s="23"/>
      <c r="M81" s="43"/>
      <c r="O81" s="129">
        <f t="shared" si="16"/>
        <v>13.853812659856638</v>
      </c>
    </row>
    <row r="82" spans="3:15" x14ac:dyDescent="0.25">
      <c r="C82" s="32">
        <f t="shared" si="17"/>
        <v>1.7000000000000008</v>
      </c>
      <c r="D82" s="10">
        <f t="shared" si="14"/>
        <v>2.3400000000000003</v>
      </c>
      <c r="E82" s="9">
        <f t="shared" si="15"/>
        <v>3.6890000000000018</v>
      </c>
      <c r="F82">
        <f t="shared" ref="F82:F99" si="18">($B$48+2*K82)</f>
        <v>5.4169577111811043</v>
      </c>
      <c r="G82">
        <f t="shared" ref="G82:G99" si="19">E82/F82</f>
        <v>0.6810095623204816</v>
      </c>
      <c r="H82" s="23">
        <f t="shared" ref="H82:H99" si="20">($B$52*8*9.81*G82*E82^2/$B$55)^0.5</f>
        <v>13.159521932584806</v>
      </c>
      <c r="I82" s="42">
        <f t="shared" ref="I82:I99" si="21">H82/E82</f>
        <v>3.5672328361574408</v>
      </c>
      <c r="J82" s="22"/>
      <c r="K82">
        <f t="shared" ref="K82:K99" si="22">((($B$50*C82))^2+(C82^2))^0.5</f>
        <v>1.7084788555905521</v>
      </c>
      <c r="L82" s="23"/>
      <c r="M82" s="43"/>
      <c r="O82" s="129">
        <f t="shared" si="16"/>
        <v>14.507399070846848</v>
      </c>
    </row>
    <row r="83" spans="3:15" x14ac:dyDescent="0.25">
      <c r="C83" s="32">
        <f t="shared" si="17"/>
        <v>1.7500000000000009</v>
      </c>
      <c r="D83" s="10">
        <f t="shared" si="14"/>
        <v>2.35</v>
      </c>
      <c r="E83" s="9">
        <f t="shared" si="15"/>
        <v>3.8062500000000017</v>
      </c>
      <c r="F83">
        <f t="shared" si="18"/>
        <v>5.5174564673923134</v>
      </c>
      <c r="G83">
        <f t="shared" si="19"/>
        <v>0.68985591866371887</v>
      </c>
      <c r="H83" s="23">
        <f t="shared" si="20"/>
        <v>13.665683536525139</v>
      </c>
      <c r="I83" s="42">
        <f t="shared" si="21"/>
        <v>3.5903273659179331</v>
      </c>
      <c r="J83" s="22"/>
      <c r="K83">
        <f t="shared" si="22"/>
        <v>1.7587282336961567</v>
      </c>
      <c r="L83" s="23"/>
      <c r="M83" s="43"/>
      <c r="O83" s="129">
        <f t="shared" si="16"/>
        <v>15.17212938126935</v>
      </c>
    </row>
    <row r="84" spans="3:15" x14ac:dyDescent="0.25">
      <c r="C84" s="32">
        <f t="shared" si="17"/>
        <v>1.8000000000000009</v>
      </c>
      <c r="D84" s="10">
        <f t="shared" si="14"/>
        <v>2.3600000000000003</v>
      </c>
      <c r="E84" s="9">
        <f t="shared" si="15"/>
        <v>3.9240000000000022</v>
      </c>
      <c r="F84">
        <f t="shared" si="18"/>
        <v>5.6179552236035217</v>
      </c>
      <c r="G84">
        <f t="shared" si="19"/>
        <v>0.69847477308354788</v>
      </c>
      <c r="H84" s="23">
        <f t="shared" si="20"/>
        <v>14.176179815677441</v>
      </c>
      <c r="I84" s="42">
        <f t="shared" si="21"/>
        <v>3.6126859876853805</v>
      </c>
      <c r="J84" s="22"/>
      <c r="K84">
        <f t="shared" si="22"/>
        <v>1.8089776118017611</v>
      </c>
      <c r="L84" s="23"/>
      <c r="M84" s="43"/>
      <c r="O84" s="129">
        <f t="shared" si="16"/>
        <v>15.847910148882445</v>
      </c>
    </row>
    <row r="85" spans="3:15" x14ac:dyDescent="0.25">
      <c r="C85" s="32">
        <f t="shared" si="17"/>
        <v>1.850000000000001</v>
      </c>
      <c r="D85" s="10">
        <f t="shared" si="14"/>
        <v>2.37</v>
      </c>
      <c r="E85" s="9">
        <f t="shared" si="15"/>
        <v>4.0422500000000019</v>
      </c>
      <c r="F85">
        <f t="shared" si="18"/>
        <v>5.7184539798147309</v>
      </c>
      <c r="G85">
        <f t="shared" si="19"/>
        <v>0.70687812025217422</v>
      </c>
      <c r="H85" s="23">
        <f t="shared" si="20"/>
        <v>14.690963893203378</v>
      </c>
      <c r="I85" s="42">
        <f t="shared" si="21"/>
        <v>3.6343531184868256</v>
      </c>
      <c r="J85" s="22"/>
      <c r="K85">
        <f t="shared" si="22"/>
        <v>1.8592269899073657</v>
      </c>
      <c r="L85" s="23"/>
      <c r="M85" s="43"/>
      <c r="O85" s="129">
        <f t="shared" si="16"/>
        <v>16.534653004067007</v>
      </c>
    </row>
    <row r="86" spans="3:15" x14ac:dyDescent="0.25">
      <c r="C86" s="32">
        <f t="shared" si="17"/>
        <v>1.900000000000001</v>
      </c>
      <c r="D86" s="10">
        <f t="shared" si="14"/>
        <v>2.3800000000000003</v>
      </c>
      <c r="E86" s="9">
        <f t="shared" si="15"/>
        <v>4.1610000000000031</v>
      </c>
      <c r="F86">
        <f t="shared" si="18"/>
        <v>5.8189527360259401</v>
      </c>
      <c r="G86">
        <f t="shared" si="19"/>
        <v>0.71507712620497454</v>
      </c>
      <c r="H86" s="23">
        <f t="shared" si="20"/>
        <v>15.209992882783219</v>
      </c>
      <c r="I86" s="42">
        <f t="shared" si="21"/>
        <v>3.6553695945165123</v>
      </c>
      <c r="J86" s="22"/>
      <c r="K86">
        <f t="shared" si="22"/>
        <v>1.9094763680129703</v>
      </c>
      <c r="L86" s="23"/>
      <c r="M86" s="43"/>
      <c r="O86" s="129">
        <f t="shared" si="16"/>
        <v>17.232274293130963</v>
      </c>
    </row>
    <row r="87" spans="3:15" x14ac:dyDescent="0.25">
      <c r="C87" s="32">
        <f t="shared" si="17"/>
        <v>1.9500000000000011</v>
      </c>
      <c r="D87" s="10">
        <f t="shared" si="14"/>
        <v>2.39</v>
      </c>
      <c r="E87" s="9">
        <f t="shared" si="15"/>
        <v>4.2802500000000032</v>
      </c>
      <c r="F87">
        <f t="shared" si="18"/>
        <v>5.9194514922371493</v>
      </c>
      <c r="G87">
        <f t="shared" si="19"/>
        <v>0.72308219868229051</v>
      </c>
      <c r="H87" s="23">
        <f t="shared" si="20"/>
        <v>15.733227512582079</v>
      </c>
      <c r="I87" s="42">
        <f t="shared" si="21"/>
        <v>3.6757730302160079</v>
      </c>
      <c r="K87">
        <f t="shared" si="22"/>
        <v>1.9597257461185746</v>
      </c>
      <c r="L87" s="23"/>
      <c r="M87" s="43"/>
      <c r="O87" s="129">
        <f t="shared" si="16"/>
        <v>17.940694755030293</v>
      </c>
    </row>
    <row r="88" spans="3:15" x14ac:dyDescent="0.25">
      <c r="C88" s="32">
        <f t="shared" si="17"/>
        <v>2.0000000000000009</v>
      </c>
      <c r="D88" s="10">
        <f t="shared" si="14"/>
        <v>2.4000000000000004</v>
      </c>
      <c r="E88" s="9">
        <f t="shared" si="15"/>
        <v>4.4000000000000021</v>
      </c>
      <c r="F88">
        <f t="shared" si="18"/>
        <v>6.0199502484483576</v>
      </c>
      <c r="G88">
        <f t="shared" si="19"/>
        <v>0.73090305042539216</v>
      </c>
      <c r="H88" s="23">
        <f t="shared" si="20"/>
        <v>16.260631791255914</v>
      </c>
      <c r="I88" s="42">
        <f t="shared" si="21"/>
        <v>3.6955981343763424</v>
      </c>
      <c r="K88">
        <f t="shared" si="22"/>
        <v>2.0099751242241788</v>
      </c>
      <c r="L88" s="23"/>
      <c r="M88" s="43"/>
      <c r="O88" s="129">
        <f t="shared" si="16"/>
        <v>18.659839227603232</v>
      </c>
    </row>
    <row r="89" spans="3:15" x14ac:dyDescent="0.25">
      <c r="C89" s="32">
        <f t="shared" si="17"/>
        <v>2.0500000000000007</v>
      </c>
      <c r="D89" s="10">
        <f t="shared" si="14"/>
        <v>2.41</v>
      </c>
      <c r="E89" s="9">
        <f t="shared" si="15"/>
        <v>4.5202500000000017</v>
      </c>
      <c r="F89">
        <f t="shared" si="18"/>
        <v>6.1204490046595668</v>
      </c>
      <c r="G89">
        <f t="shared" si="19"/>
        <v>0.73854875623645988</v>
      </c>
      <c r="H89" s="23">
        <f t="shared" si="20"/>
        <v>16.792172710563012</v>
      </c>
      <c r="I89" s="42">
        <f t="shared" si="21"/>
        <v>3.7148769892291367</v>
      </c>
      <c r="K89">
        <f t="shared" si="22"/>
        <v>2.0602245023297834</v>
      </c>
      <c r="L89" s="23"/>
      <c r="M89" s="43"/>
      <c r="O89" s="129">
        <f t="shared" si="16"/>
        <v>19.389636379956734</v>
      </c>
    </row>
    <row r="90" spans="3:15" x14ac:dyDescent="0.25">
      <c r="C90" s="32">
        <f t="shared" si="17"/>
        <v>2.1000000000000005</v>
      </c>
      <c r="D90" s="10">
        <f t="shared" si="14"/>
        <v>2.42</v>
      </c>
      <c r="E90" s="9">
        <f t="shared" si="15"/>
        <v>4.6410000000000009</v>
      </c>
      <c r="F90">
        <f t="shared" si="18"/>
        <v>6.2209477608707751</v>
      </c>
      <c r="G90">
        <f t="shared" si="19"/>
        <v>0.74602780450777784</v>
      </c>
      <c r="H90" s="23">
        <f t="shared" si="20"/>
        <v>17.327819979942849</v>
      </c>
      <c r="I90" s="42">
        <f t="shared" si="21"/>
        <v>3.7336392975528647</v>
      </c>
      <c r="K90">
        <f t="shared" si="22"/>
        <v>2.1104738804353875</v>
      </c>
      <c r="L90" s="23"/>
      <c r="M90" s="43"/>
      <c r="O90" s="129">
        <f t="shared" si="16"/>
        <v>20.13001846809976</v>
      </c>
    </row>
    <row r="91" spans="3:15" x14ac:dyDescent="0.25">
      <c r="C91" s="32">
        <f t="shared" si="17"/>
        <v>2.1500000000000004</v>
      </c>
      <c r="D91" s="10">
        <f t="shared" si="14"/>
        <v>2.4300000000000002</v>
      </c>
      <c r="E91" s="9">
        <f t="shared" si="15"/>
        <v>4.7622500000000008</v>
      </c>
      <c r="F91">
        <f t="shared" si="18"/>
        <v>6.3214465170819834</v>
      </c>
      <c r="G91">
        <f t="shared" si="19"/>
        <v>0.75334814383564275</v>
      </c>
      <c r="H91" s="23">
        <f t="shared" si="20"/>
        <v>17.867545789090027</v>
      </c>
      <c r="I91" s="42">
        <f t="shared" si="21"/>
        <v>3.7519126020452567</v>
      </c>
      <c r="K91">
        <f t="shared" si="22"/>
        <v>2.1607232585409917</v>
      </c>
      <c r="L91" s="23"/>
      <c r="M91" s="43"/>
      <c r="O91" s="129">
        <f t="shared" si="16"/>
        <v>20.880921111302719</v>
      </c>
    </row>
    <row r="92" spans="3:15" x14ac:dyDescent="0.25">
      <c r="C92" s="32">
        <f t="shared" si="17"/>
        <v>2.2000000000000002</v>
      </c>
      <c r="D92" s="10">
        <f t="shared" si="14"/>
        <v>2.44</v>
      </c>
      <c r="E92" s="9">
        <f t="shared" si="15"/>
        <v>4.8839999999999995</v>
      </c>
      <c r="F92">
        <f t="shared" si="18"/>
        <v>6.4219452732931916</v>
      </c>
      <c r="G92">
        <f t="shared" si="19"/>
        <v>0.76051722525742893</v>
      </c>
      <c r="H92" s="23">
        <f t="shared" si="20"/>
        <v>18.411324595110159</v>
      </c>
      <c r="I92" s="42">
        <f t="shared" si="21"/>
        <v>3.7697224805712861</v>
      </c>
      <c r="K92">
        <f t="shared" si="22"/>
        <v>2.2109726366465958</v>
      </c>
      <c r="L92" s="23"/>
      <c r="M92" s="43"/>
      <c r="O92" s="129">
        <f t="shared" si="16"/>
        <v>21.642283086987643</v>
      </c>
    </row>
    <row r="93" spans="3:15" x14ac:dyDescent="0.25">
      <c r="C93" s="32">
        <f t="shared" si="17"/>
        <v>2.25</v>
      </c>
      <c r="D93" s="10">
        <f t="shared" si="14"/>
        <v>2.4500000000000002</v>
      </c>
      <c r="E93" s="9">
        <f t="shared" si="15"/>
        <v>5.0062500000000005</v>
      </c>
      <c r="F93">
        <f t="shared" si="18"/>
        <v>6.5224440295044008</v>
      </c>
      <c r="G93">
        <f t="shared" si="19"/>
        <v>0.76754204058388731</v>
      </c>
      <c r="H93" s="23">
        <f t="shared" si="20"/>
        <v>18.959132931316088</v>
      </c>
      <c r="I93" s="42">
        <f t="shared" si="21"/>
        <v>3.7870927203627636</v>
      </c>
      <c r="K93">
        <f t="shared" si="22"/>
        <v>2.2612220147522004</v>
      </c>
      <c r="L93" s="23"/>
      <c r="M93" s="43"/>
      <c r="O93" s="129">
        <f t="shared" si="16"/>
        <v>22.414046142231427</v>
      </c>
    </row>
    <row r="94" spans="3:15" x14ac:dyDescent="0.25">
      <c r="C94" s="32">
        <f t="shared" si="17"/>
        <v>2.2999999999999998</v>
      </c>
      <c r="D94" s="10">
        <f t="shared" si="14"/>
        <v>2.46</v>
      </c>
      <c r="E94" s="9">
        <f t="shared" si="15"/>
        <v>5.1289999999999996</v>
      </c>
      <c r="F94">
        <f t="shared" si="18"/>
        <v>6.6229427857156091</v>
      </c>
      <c r="G94">
        <f t="shared" si="19"/>
        <v>0.77442915724143779</v>
      </c>
      <c r="H94" s="23">
        <f t="shared" si="20"/>
        <v>19.510949235121373</v>
      </c>
      <c r="I94" s="42">
        <f t="shared" si="21"/>
        <v>3.8040454738002292</v>
      </c>
      <c r="K94">
        <f t="shared" si="22"/>
        <v>2.3114713928578046</v>
      </c>
      <c r="L94" s="23"/>
      <c r="M94" s="43"/>
      <c r="O94" s="129">
        <f t="shared" si="16"/>
        <v>23.196154820200682</v>
      </c>
    </row>
    <row r="95" spans="3:15" x14ac:dyDescent="0.25">
      <c r="C95" s="32">
        <f t="shared" si="17"/>
        <v>2.3499999999999996</v>
      </c>
      <c r="D95" s="10">
        <f t="shared" si="14"/>
        <v>2.4699999999999998</v>
      </c>
      <c r="E95" s="9">
        <f t="shared" si="15"/>
        <v>5.2522499999999992</v>
      </c>
      <c r="F95">
        <f t="shared" si="18"/>
        <v>6.7234415419268174</v>
      </c>
      <c r="G95">
        <f t="shared" si="19"/>
        <v>0.78118474998963083</v>
      </c>
      <c r="H95" s="23">
        <f t="shared" si="20"/>
        <v>20.066753692826847</v>
      </c>
      <c r="I95" s="42">
        <f t="shared" si="21"/>
        <v>3.8206013980345279</v>
      </c>
      <c r="K95">
        <f t="shared" si="22"/>
        <v>2.3617207709634087</v>
      </c>
      <c r="L95" s="23"/>
      <c r="M95" s="43"/>
      <c r="O95" s="129">
        <f t="shared" si="16"/>
        <v>23.988556300040372</v>
      </c>
    </row>
    <row r="96" spans="3:15" x14ac:dyDescent="0.25">
      <c r="C96" s="32">
        <f t="shared" si="17"/>
        <v>2.3999999999999995</v>
      </c>
      <c r="D96" s="10">
        <f t="shared" si="14"/>
        <v>2.48</v>
      </c>
      <c r="E96" s="9">
        <f t="shared" si="15"/>
        <v>5.3759999999999994</v>
      </c>
      <c r="F96">
        <f t="shared" si="18"/>
        <v>6.8239402981380257</v>
      </c>
      <c r="G96">
        <f t="shared" si="19"/>
        <v>0.7878146298359161</v>
      </c>
      <c r="H96" s="23">
        <f t="shared" si="20"/>
        <v>20.626528099383751</v>
      </c>
      <c r="I96" s="42">
        <f t="shared" si="21"/>
        <v>3.8367797803913231</v>
      </c>
      <c r="K96">
        <f t="shared" si="22"/>
        <v>2.4119701490690129</v>
      </c>
      <c r="L96" s="23"/>
      <c r="M96" s="43"/>
      <c r="O96" s="129">
        <f t="shared" si="16"/>
        <v>24.791200248912464</v>
      </c>
    </row>
    <row r="97" spans="3:15" x14ac:dyDescent="0.25">
      <c r="C97" s="32">
        <f t="shared" si="17"/>
        <v>2.4499999999999993</v>
      </c>
      <c r="D97" s="10">
        <f t="shared" si="14"/>
        <v>2.4899999999999998</v>
      </c>
      <c r="E97" s="9">
        <f t="shared" si="15"/>
        <v>5.5002499999999985</v>
      </c>
      <c r="F97">
        <f t="shared" si="18"/>
        <v>6.9244390543492349</v>
      </c>
      <c r="G97">
        <f t="shared" si="19"/>
        <v>0.79432427043246134</v>
      </c>
      <c r="H97" s="23">
        <f t="shared" si="20"/>
        <v>21.19025573146364</v>
      </c>
      <c r="I97" s="42">
        <f t="shared" si="21"/>
        <v>3.8525986512365158</v>
      </c>
      <c r="K97">
        <f t="shared" si="22"/>
        <v>2.4622195271746175</v>
      </c>
      <c r="L97" s="23"/>
      <c r="M97" s="43"/>
      <c r="O97" s="129">
        <f t="shared" si="16"/>
        <v>25.60403868503218</v>
      </c>
    </row>
    <row r="98" spans="3:15" x14ac:dyDescent="0.25">
      <c r="C98" s="32">
        <f t="shared" si="17"/>
        <v>2.4999999999999991</v>
      </c>
      <c r="D98" s="10">
        <f t="shared" si="14"/>
        <v>2.5</v>
      </c>
      <c r="E98" s="9">
        <f t="shared" si="15"/>
        <v>5.6249999999999982</v>
      </c>
      <c r="F98">
        <f t="shared" si="18"/>
        <v>7.0249378105604432</v>
      </c>
      <c r="G98">
        <f t="shared" si="19"/>
        <v>0.80071883220717666</v>
      </c>
      <c r="H98" s="23">
        <f t="shared" si="20"/>
        <v>21.757921232375899</v>
      </c>
      <c r="I98" s="42">
        <f t="shared" si="21"/>
        <v>3.8680748857557168</v>
      </c>
      <c r="K98">
        <f t="shared" si="22"/>
        <v>2.5124689052802216</v>
      </c>
      <c r="L98" s="23"/>
      <c r="M98" s="43"/>
      <c r="O98" s="129">
        <f t="shared" si="16"/>
        <v>26.427025850679819</v>
      </c>
    </row>
    <row r="99" spans="3:15" x14ac:dyDescent="0.25">
      <c r="C99" s="32">
        <f t="shared" si="17"/>
        <v>2.5499999999999989</v>
      </c>
      <c r="D99" s="10">
        <f t="shared" si="14"/>
        <v>2.5099999999999998</v>
      </c>
      <c r="E99" s="9">
        <f t="shared" si="15"/>
        <v>5.7502499999999976</v>
      </c>
      <c r="F99">
        <f t="shared" si="18"/>
        <v>7.1254365667716515</v>
      </c>
      <c r="G99">
        <f t="shared" si="19"/>
        <v>0.80700318445263841</v>
      </c>
      <c r="H99" s="23">
        <f t="shared" si="20"/>
        <v>22.329510507554893</v>
      </c>
      <c r="I99" s="42">
        <f t="shared" si="21"/>
        <v>3.8832242959097263</v>
      </c>
      <c r="K99">
        <f t="shared" si="22"/>
        <v>2.5627182833858257</v>
      </c>
      <c r="L99" s="23"/>
      <c r="M99" s="43"/>
      <c r="O99" s="129">
        <f t="shared" si="16"/>
        <v>27.260118094279537</v>
      </c>
    </row>
    <row r="100" spans="3:15" x14ac:dyDescent="0.25">
      <c r="C100" s="39"/>
      <c r="D100" s="10"/>
      <c r="E100" s="9"/>
      <c r="H100" s="23"/>
      <c r="K100" s="8"/>
    </row>
  </sheetData>
  <phoneticPr fontId="0" type="noConversion"/>
  <conditionalFormatting sqref="J8:K42 K6:K7">
    <cfRule type="cellIs" dxfId="2" priority="5" stopIfTrue="1" operator="greaterThan">
      <formula>$C$6</formula>
    </cfRule>
  </conditionalFormatting>
  <conditionalFormatting sqref="J4:K4">
    <cfRule type="cellIs" dxfId="1" priority="4" stopIfTrue="1" operator="greaterThan">
      <formula>$C$6</formula>
    </cfRule>
  </conditionalFormatting>
  <conditionalFormatting sqref="J7">
    <cfRule type="cellIs" dxfId="0" priority="3" stopIfTrue="1" operator="greaterThan">
      <formula>$C$6</formula>
    </cfRule>
  </conditionalFormatting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0241" r:id="rId4">
          <objectPr defaultSize="0" autoPict="0" r:id="rId5">
            <anchor moveWithCells="1" sizeWithCells="1">
              <from>
                <xdr:col>9</xdr:col>
                <xdr:colOff>784860</xdr:colOff>
                <xdr:row>0</xdr:row>
                <xdr:rowOff>53340</xdr:rowOff>
              </from>
              <to>
                <xdr:col>17</xdr:col>
                <xdr:colOff>220980</xdr:colOff>
                <xdr:row>10</xdr:row>
                <xdr:rowOff>76200</xdr:rowOff>
              </to>
            </anchor>
          </objectPr>
        </oleObject>
      </mc:Choice>
      <mc:Fallback>
        <oleObject progId="Equation.3" shapeId="10241" r:id="rId4"/>
      </mc:Fallback>
    </mc:AlternateContent>
    <mc:AlternateContent xmlns:mc="http://schemas.openxmlformats.org/markup-compatibility/2006">
      <mc:Choice Requires="x14">
        <oleObject progId="Equation.3" shapeId="10242" r:id="rId6">
          <objectPr defaultSize="0" autoPict="0" r:id="rId5">
            <anchor moveWithCells="1" sizeWithCells="1">
              <from>
                <xdr:col>6</xdr:col>
                <xdr:colOff>426720</xdr:colOff>
                <xdr:row>43</xdr:row>
                <xdr:rowOff>22860</xdr:rowOff>
              </from>
              <to>
                <xdr:col>11</xdr:col>
                <xdr:colOff>762000</xdr:colOff>
                <xdr:row>48</xdr:row>
                <xdr:rowOff>91440</xdr:rowOff>
              </to>
            </anchor>
          </objectPr>
        </oleObject>
      </mc:Choice>
      <mc:Fallback>
        <oleObject progId="Equation.3" shapeId="10242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B6EC8-8B2E-4854-A543-7112E09F117D}">
  <dimension ref="A2:T166"/>
  <sheetViews>
    <sheetView topLeftCell="A5" workbookViewId="0">
      <selection activeCell="B18" sqref="B18"/>
    </sheetView>
  </sheetViews>
  <sheetFormatPr defaultRowHeight="13.2" x14ac:dyDescent="0.25"/>
  <cols>
    <col min="1" max="1" width="14.88671875" style="95" customWidth="1"/>
    <col min="2" max="13" width="8.88671875" style="95"/>
    <col min="14" max="16" width="9.109375" style="95" customWidth="1"/>
    <col min="17" max="16384" width="8.88671875" style="95"/>
  </cols>
  <sheetData>
    <row r="2" spans="1:20" x14ac:dyDescent="0.25">
      <c r="F2" s="95" t="s">
        <v>79</v>
      </c>
      <c r="J2" s="95" t="s">
        <v>79</v>
      </c>
      <c r="K2" s="95" t="s">
        <v>121</v>
      </c>
    </row>
    <row r="7" spans="1:20" x14ac:dyDescent="0.25">
      <c r="A7" s="139" t="s">
        <v>2</v>
      </c>
      <c r="B7" s="139">
        <v>4</v>
      </c>
      <c r="C7" s="95" t="s">
        <v>4</v>
      </c>
      <c r="D7" s="95" t="s">
        <v>3</v>
      </c>
      <c r="E7" s="95" t="s">
        <v>13</v>
      </c>
      <c r="F7" s="95" t="s">
        <v>12</v>
      </c>
      <c r="G7" s="95" t="s">
        <v>6</v>
      </c>
      <c r="H7" s="95" t="s">
        <v>21</v>
      </c>
      <c r="I7" s="95" t="s">
        <v>137</v>
      </c>
      <c r="J7" s="95" t="s">
        <v>8</v>
      </c>
      <c r="K7" s="95" t="s">
        <v>9</v>
      </c>
      <c r="L7" s="95" t="s">
        <v>5</v>
      </c>
      <c r="M7" s="95" t="s">
        <v>10</v>
      </c>
      <c r="N7" s="149" t="s">
        <v>14</v>
      </c>
      <c r="P7" s="97" t="s">
        <v>41</v>
      </c>
      <c r="Q7" s="141" t="s">
        <v>138</v>
      </c>
    </row>
    <row r="8" spans="1:20" x14ac:dyDescent="0.25">
      <c r="A8" s="140"/>
      <c r="B8" s="140"/>
      <c r="C8" s="98">
        <v>0</v>
      </c>
      <c r="D8" s="98">
        <v>0</v>
      </c>
      <c r="E8" s="99">
        <f>($B$11-M8)*$B$16</f>
        <v>4.5701452599388376E-4</v>
      </c>
      <c r="F8" s="147">
        <f>$G8+L8</f>
        <v>0.27963812436289504</v>
      </c>
      <c r="G8" s="148">
        <v>0.2</v>
      </c>
      <c r="H8" s="98">
        <f>$B$7*G8</f>
        <v>0.8</v>
      </c>
      <c r="I8" s="98">
        <f>$B$7+2*G8</f>
        <v>4.4000000000000004</v>
      </c>
      <c r="J8" s="98">
        <f>H8/I8</f>
        <v>0.18181818181818182</v>
      </c>
      <c r="K8" s="98">
        <f>$B$10/(G8*$B$7)</f>
        <v>1.25</v>
      </c>
      <c r="L8" s="146">
        <f t="shared" ref="L8:L71" si="0">K8^2/(2*9.81)</f>
        <v>7.9638124362894996E-2</v>
      </c>
      <c r="M8" s="98">
        <f>$B$13*L8/(4*J8)</f>
        <v>3.2850726299694186E-3</v>
      </c>
      <c r="N8" s="150">
        <f>1-$B$10^2/($B$7^2*G8^3*9.81)</f>
        <v>0.2036187563710502</v>
      </c>
      <c r="O8" s="98"/>
      <c r="P8" s="97">
        <f>$B$21</f>
        <v>0.18538318385384195</v>
      </c>
      <c r="Q8" s="141">
        <f>$B$18</f>
        <v>0.28801432746393918</v>
      </c>
    </row>
    <row r="9" spans="1:20" x14ac:dyDescent="0.25">
      <c r="A9" s="140"/>
      <c r="B9" s="140"/>
      <c r="C9" s="95">
        <f t="shared" ref="C9:C72" si="1">C8+$B$16</f>
        <v>-0.2</v>
      </c>
      <c r="D9" s="95">
        <f>-$B$11*C9</f>
        <v>2.0000000000000001E-4</v>
      </c>
      <c r="E9" s="99">
        <f>($B$11-M8)*$B$16</f>
        <v>4.5701452599388376E-4</v>
      </c>
      <c r="F9" s="100">
        <f>F8+E9</f>
        <v>0.28009513888888893</v>
      </c>
      <c r="G9" s="99">
        <f>F9-L8</f>
        <v>0.20045701452599393</v>
      </c>
      <c r="H9" s="100">
        <f>$B$7*G9</f>
        <v>0.80182805810397573</v>
      </c>
      <c r="I9" s="98">
        <f t="shared" ref="I9:I72" si="2">$B$7+2*G9</f>
        <v>4.4009140290519877</v>
      </c>
      <c r="J9" s="98">
        <f t="shared" ref="J9:J72" si="3">H9/I9</f>
        <v>0.18219580132918425</v>
      </c>
      <c r="K9" s="100">
        <f>$B$10/H9</f>
        <v>1.2471501712781503</v>
      </c>
      <c r="L9" s="100">
        <f t="shared" si="0"/>
        <v>7.9275410281300696E-2</v>
      </c>
      <c r="M9" s="100">
        <f>$B$13*L9/(4*J9)</f>
        <v>3.2633330338689712E-3</v>
      </c>
      <c r="N9" s="151">
        <f>1-$B$10^2/($B$7^2*G9^3*9.81)</f>
        <v>0.20905326791624157</v>
      </c>
      <c r="P9" s="97">
        <v>0.18538318385384195</v>
      </c>
      <c r="Q9" s="141">
        <f t="shared" ref="Q9:Q72" si="4">Q8</f>
        <v>0.28801432746393918</v>
      </c>
    </row>
    <row r="10" spans="1:20" x14ac:dyDescent="0.25">
      <c r="A10" s="139" t="s">
        <v>1</v>
      </c>
      <c r="B10" s="139">
        <v>1</v>
      </c>
      <c r="C10" s="95">
        <f t="shared" si="1"/>
        <v>-0.4</v>
      </c>
      <c r="D10" s="95">
        <f t="shared" ref="D10:D73" si="5">-$B$11*C10</f>
        <v>4.0000000000000002E-4</v>
      </c>
      <c r="E10" s="99">
        <f t="shared" ref="E10:E73" si="6">($B$11-M9)*$B$16</f>
        <v>4.5266660677379425E-4</v>
      </c>
      <c r="F10" s="100">
        <f t="shared" ref="F10:F73" si="7">F9+E10</f>
        <v>0.28054780549566272</v>
      </c>
      <c r="G10" s="99">
        <f t="shared" ref="G10:G73" si="8">F10-L9</f>
        <v>0.20127239521436202</v>
      </c>
      <c r="H10" s="100">
        <f t="shared" ref="H10:H73" si="9">$B$7*G10</f>
        <v>0.80508958085744808</v>
      </c>
      <c r="I10" s="98">
        <f t="shared" si="2"/>
        <v>4.402544790428724</v>
      </c>
      <c r="J10" s="98">
        <f t="shared" si="3"/>
        <v>0.18286914027717313</v>
      </c>
      <c r="K10" s="100">
        <f t="shared" ref="K10:K73" si="10">$B$10/H10</f>
        <v>1.242097803495315</v>
      </c>
      <c r="L10" s="100">
        <f t="shared" si="0"/>
        <v>7.8634401297038026E-2</v>
      </c>
      <c r="M10" s="100">
        <f t="shared" ref="M10:M73" si="11">$B$13*L10/(4*J10)</f>
        <v>3.225027518770495E-3</v>
      </c>
      <c r="N10" s="151">
        <f t="shared" ref="N10:N73" si="12">1-$B$10^2/($B$7^2*G10^3*9.81)</f>
        <v>0.21862706295823953</v>
      </c>
      <c r="P10" s="97">
        <v>0.18538318385384195</v>
      </c>
      <c r="Q10" s="141">
        <f t="shared" si="4"/>
        <v>0.28801432746393918</v>
      </c>
    </row>
    <row r="11" spans="1:20" x14ac:dyDescent="0.25">
      <c r="A11" s="139" t="s">
        <v>11</v>
      </c>
      <c r="B11" s="139">
        <f>1/1000</f>
        <v>1E-3</v>
      </c>
      <c r="C11" s="95">
        <f t="shared" si="1"/>
        <v>-0.60000000000000009</v>
      </c>
      <c r="D11" s="95">
        <f t="shared" si="5"/>
        <v>6.0000000000000006E-4</v>
      </c>
      <c r="E11" s="99">
        <f t="shared" si="6"/>
        <v>4.4500550375409904E-4</v>
      </c>
      <c r="F11" s="100">
        <f t="shared" si="7"/>
        <v>0.28099281099941681</v>
      </c>
      <c r="G11" s="99">
        <f t="shared" si="8"/>
        <v>0.20235840970237878</v>
      </c>
      <c r="H11" s="100">
        <f t="shared" si="9"/>
        <v>0.80943363880951513</v>
      </c>
      <c r="I11" s="98">
        <f t="shared" si="2"/>
        <v>4.4047168194047579</v>
      </c>
      <c r="J11" s="98">
        <f t="shared" si="3"/>
        <v>0.18376519354061446</v>
      </c>
      <c r="K11" s="100">
        <f t="shared" si="10"/>
        <v>1.235431729117118</v>
      </c>
      <c r="L11" s="100">
        <f t="shared" si="0"/>
        <v>7.7792637987222829E-2</v>
      </c>
      <c r="M11" s="100">
        <f t="shared" si="11"/>
        <v>3.1749471902861866E-3</v>
      </c>
      <c r="N11" s="151">
        <f t="shared" si="12"/>
        <v>0.23114005391090653</v>
      </c>
      <c r="P11" s="97">
        <v>0.18538318385384195</v>
      </c>
      <c r="Q11" s="141">
        <f t="shared" si="4"/>
        <v>0.28801432746393918</v>
      </c>
    </row>
    <row r="12" spans="1:20" x14ac:dyDescent="0.25">
      <c r="A12" s="140" t="s">
        <v>7</v>
      </c>
      <c r="B12" s="140"/>
      <c r="C12" s="95">
        <f t="shared" si="1"/>
        <v>-0.8</v>
      </c>
      <c r="D12" s="95">
        <f t="shared" si="5"/>
        <v>8.0000000000000004E-4</v>
      </c>
      <c r="E12" s="99">
        <f t="shared" si="6"/>
        <v>4.3498943805723734E-4</v>
      </c>
      <c r="F12" s="100">
        <f t="shared" si="7"/>
        <v>0.28142780043747406</v>
      </c>
      <c r="G12" s="99">
        <f t="shared" si="8"/>
        <v>0.20363516245025123</v>
      </c>
      <c r="H12" s="100">
        <f t="shared" si="9"/>
        <v>0.81454064980100493</v>
      </c>
      <c r="I12" s="98">
        <f t="shared" si="2"/>
        <v>4.4072703249005025</v>
      </c>
      <c r="J12" s="98">
        <f t="shared" si="3"/>
        <v>0.18481749240543666</v>
      </c>
      <c r="K12" s="100">
        <f t="shared" si="10"/>
        <v>1.227685813156536</v>
      </c>
      <c r="L12" s="100">
        <f t="shared" si="0"/>
        <v>7.6820206718951331E-2</v>
      </c>
      <c r="M12" s="100">
        <f t="shared" si="11"/>
        <v>3.1174081137743362E-3</v>
      </c>
      <c r="N12" s="151">
        <f t="shared" si="12"/>
        <v>0.24551137637912845</v>
      </c>
      <c r="P12" s="97">
        <v>0.18538318385384195</v>
      </c>
      <c r="Q12" s="141">
        <f t="shared" si="4"/>
        <v>0.28801432746393918</v>
      </c>
      <c r="S12" s="95" t="s">
        <v>122</v>
      </c>
    </row>
    <row r="13" spans="1:20" x14ac:dyDescent="0.25">
      <c r="A13" s="139" t="s">
        <v>0</v>
      </c>
      <c r="B13" s="139">
        <f>0.03</f>
        <v>0.03</v>
      </c>
      <c r="C13" s="95">
        <f t="shared" si="1"/>
        <v>-1</v>
      </c>
      <c r="D13" s="95">
        <f t="shared" si="5"/>
        <v>1E-3</v>
      </c>
      <c r="E13" s="99">
        <f t="shared" si="6"/>
        <v>4.2348162275486728E-4</v>
      </c>
      <c r="F13" s="100">
        <f t="shared" si="7"/>
        <v>0.28185128206022891</v>
      </c>
      <c r="G13" s="99">
        <f t="shared" si="8"/>
        <v>0.20503107534127757</v>
      </c>
      <c r="H13" s="100">
        <f t="shared" si="9"/>
        <v>0.82012430136511028</v>
      </c>
      <c r="I13" s="98">
        <f t="shared" si="2"/>
        <v>4.4100621506825552</v>
      </c>
      <c r="J13" s="98">
        <f t="shared" si="3"/>
        <v>0.18596660848377788</v>
      </c>
      <c r="K13" s="100">
        <f t="shared" si="10"/>
        <v>1.2193273609079547</v>
      </c>
      <c r="L13" s="100">
        <f t="shared" si="0"/>
        <v>7.577773766864207E-2</v>
      </c>
      <c r="M13" s="100">
        <f t="shared" si="11"/>
        <v>3.0561025828698268E-3</v>
      </c>
      <c r="N13" s="151">
        <f t="shared" si="12"/>
        <v>0.26081704890335478</v>
      </c>
      <c r="P13" s="97">
        <v>0.18538318385384195</v>
      </c>
      <c r="Q13" s="141">
        <f t="shared" si="4"/>
        <v>0.28801432746393918</v>
      </c>
    </row>
    <row r="14" spans="1:20" x14ac:dyDescent="0.25">
      <c r="A14" s="140"/>
      <c r="B14" s="140"/>
      <c r="C14" s="95">
        <f t="shared" si="1"/>
        <v>-1.2</v>
      </c>
      <c r="D14" s="95">
        <f t="shared" si="5"/>
        <v>1.1999999999999999E-3</v>
      </c>
      <c r="E14" s="99">
        <f t="shared" si="6"/>
        <v>4.1122051657396536E-4</v>
      </c>
      <c r="F14" s="100">
        <f t="shared" si="7"/>
        <v>0.28226250257680285</v>
      </c>
      <c r="G14" s="99">
        <f t="shared" si="8"/>
        <v>0.20648476490816078</v>
      </c>
      <c r="H14" s="100">
        <f t="shared" si="9"/>
        <v>0.82593905963264314</v>
      </c>
      <c r="I14" s="98">
        <f t="shared" si="2"/>
        <v>4.4129695298163218</v>
      </c>
      <c r="J14" s="98">
        <f t="shared" si="3"/>
        <v>0.18716174087588153</v>
      </c>
      <c r="K14" s="100">
        <f t="shared" si="10"/>
        <v>1.2107430788474574</v>
      </c>
      <c r="L14" s="100">
        <f t="shared" si="0"/>
        <v>7.4714515951937829E-2</v>
      </c>
      <c r="M14" s="100">
        <f t="shared" si="11"/>
        <v>2.993981927167167E-3</v>
      </c>
      <c r="N14" s="151">
        <f t="shared" si="12"/>
        <v>0.27631933537402664</v>
      </c>
      <c r="P14" s="97">
        <v>0.18538318385384195</v>
      </c>
      <c r="Q14" s="141">
        <f t="shared" si="4"/>
        <v>0.28801432746393918</v>
      </c>
    </row>
    <row r="15" spans="1:20" x14ac:dyDescent="0.25">
      <c r="A15" s="140"/>
      <c r="B15" s="140"/>
      <c r="C15" s="95">
        <f t="shared" si="1"/>
        <v>-1.4</v>
      </c>
      <c r="D15" s="95">
        <f t="shared" si="5"/>
        <v>1.4E-3</v>
      </c>
      <c r="E15" s="99">
        <f t="shared" si="6"/>
        <v>3.9879638543343341E-4</v>
      </c>
      <c r="F15" s="100">
        <f t="shared" si="7"/>
        <v>0.2826612989622363</v>
      </c>
      <c r="G15" s="99">
        <f t="shared" si="8"/>
        <v>0.20794678301029845</v>
      </c>
      <c r="H15" s="100">
        <f t="shared" si="9"/>
        <v>0.83178713204119381</v>
      </c>
      <c r="I15" s="98">
        <f t="shared" si="2"/>
        <v>4.4158935660205971</v>
      </c>
      <c r="J15" s="98">
        <f t="shared" si="3"/>
        <v>0.18836213319125863</v>
      </c>
      <c r="K15" s="100">
        <f t="shared" si="10"/>
        <v>1.2022306687361395</v>
      </c>
      <c r="L15" s="100">
        <f t="shared" si="0"/>
        <v>7.3667613702841236E-2</v>
      </c>
      <c r="M15" s="100">
        <f t="shared" si="11"/>
        <v>2.9332174859705274E-3</v>
      </c>
      <c r="N15" s="151">
        <f t="shared" si="12"/>
        <v>0.2914762841107007</v>
      </c>
      <c r="P15" s="97">
        <v>0.18538318385384195</v>
      </c>
      <c r="Q15" s="141">
        <f t="shared" si="4"/>
        <v>0.28801432746393918</v>
      </c>
      <c r="T15" s="95" t="s">
        <v>123</v>
      </c>
    </row>
    <row r="16" spans="1:20" x14ac:dyDescent="0.25">
      <c r="A16" s="139" t="s">
        <v>29</v>
      </c>
      <c r="B16" s="139">
        <v>-0.2</v>
      </c>
      <c r="C16" s="95">
        <f t="shared" si="1"/>
        <v>-1.5999999999999999</v>
      </c>
      <c r="D16" s="95">
        <f t="shared" si="5"/>
        <v>1.5999999999999999E-3</v>
      </c>
      <c r="E16" s="99">
        <f t="shared" si="6"/>
        <v>3.8664349719410548E-4</v>
      </c>
      <c r="F16" s="100">
        <f t="shared" si="7"/>
        <v>0.28304794245943038</v>
      </c>
      <c r="G16" s="99">
        <f t="shared" si="8"/>
        <v>0.20938032875658913</v>
      </c>
      <c r="H16" s="100">
        <f t="shared" si="9"/>
        <v>0.83752131502635652</v>
      </c>
      <c r="I16" s="98">
        <f t="shared" si="2"/>
        <v>4.4187606575131779</v>
      </c>
      <c r="J16" s="98">
        <f t="shared" si="3"/>
        <v>0.18953760566377967</v>
      </c>
      <c r="K16" s="100">
        <f t="shared" si="10"/>
        <v>1.193999462531327</v>
      </c>
      <c r="L16" s="100">
        <f t="shared" si="0"/>
        <v>7.2662319904439235E-2</v>
      </c>
      <c r="M16" s="100">
        <f t="shared" si="11"/>
        <v>2.8752468270070407E-3</v>
      </c>
      <c r="N16" s="151">
        <f t="shared" si="12"/>
        <v>0.30592983270256158</v>
      </c>
      <c r="P16" s="97">
        <v>0.18538318385384195</v>
      </c>
      <c r="Q16" s="141">
        <f t="shared" si="4"/>
        <v>0.28801432746393918</v>
      </c>
    </row>
    <row r="17" spans="1:17" x14ac:dyDescent="0.25">
      <c r="C17" s="95">
        <f t="shared" si="1"/>
        <v>-1.7999999999999998</v>
      </c>
      <c r="D17" s="95">
        <f t="shared" si="5"/>
        <v>1.8E-3</v>
      </c>
      <c r="E17" s="99">
        <f t="shared" si="6"/>
        <v>3.7504936540140815E-4</v>
      </c>
      <c r="F17" s="100">
        <f t="shared" si="7"/>
        <v>0.28342299182483177</v>
      </c>
      <c r="G17" s="99">
        <f t="shared" si="8"/>
        <v>0.21076067192039255</v>
      </c>
      <c r="H17" s="100">
        <f t="shared" si="9"/>
        <v>0.8430426876815702</v>
      </c>
      <c r="I17" s="98">
        <f t="shared" si="2"/>
        <v>4.4215213438407854</v>
      </c>
      <c r="J17" s="98">
        <f t="shared" si="3"/>
        <v>0.19066801268661418</v>
      </c>
      <c r="K17" s="100">
        <f t="shared" si="10"/>
        <v>1.1861795548575056</v>
      </c>
      <c r="L17" s="100">
        <f t="shared" si="0"/>
        <v>7.1713656287561156E-2</v>
      </c>
      <c r="M17" s="100">
        <f t="shared" si="11"/>
        <v>2.8208843978498577E-3</v>
      </c>
      <c r="N17" s="151">
        <f t="shared" si="12"/>
        <v>0.31947781686093246</v>
      </c>
      <c r="P17" s="97">
        <v>0.18538318385384195</v>
      </c>
      <c r="Q17" s="141">
        <f t="shared" si="4"/>
        <v>0.28801432746393918</v>
      </c>
    </row>
    <row r="18" spans="1:17" x14ac:dyDescent="0.25">
      <c r="A18" s="95" t="s">
        <v>18</v>
      </c>
      <c r="B18" s="101">
        <f>($B$13*$B$10^2/(8*9.81*$B$7^2*$B$11))^(1/3)</f>
        <v>0.28801432746393918</v>
      </c>
      <c r="C18" s="95">
        <f t="shared" si="1"/>
        <v>-1.9999999999999998</v>
      </c>
      <c r="D18" s="95">
        <f t="shared" si="5"/>
        <v>1.9999999999999996E-3</v>
      </c>
      <c r="E18" s="99">
        <f t="shared" si="6"/>
        <v>3.6417687956997156E-4</v>
      </c>
      <c r="F18" s="100">
        <f t="shared" si="7"/>
        <v>0.28378716870440174</v>
      </c>
      <c r="G18" s="99">
        <f t="shared" si="8"/>
        <v>0.21207351241684058</v>
      </c>
      <c r="H18" s="100">
        <f t="shared" si="9"/>
        <v>0.84829404966736233</v>
      </c>
      <c r="I18" s="98">
        <f t="shared" si="2"/>
        <v>4.4241470248336814</v>
      </c>
      <c r="J18" s="98">
        <f t="shared" si="3"/>
        <v>0.19174183066378825</v>
      </c>
      <c r="K18" s="100">
        <f t="shared" si="10"/>
        <v>1.1788365135793719</v>
      </c>
      <c r="L18" s="100">
        <f t="shared" si="0"/>
        <v>7.0828518131904619E-2</v>
      </c>
      <c r="M18" s="100">
        <f t="shared" si="11"/>
        <v>2.7704642442928757E-3</v>
      </c>
      <c r="N18" s="151">
        <f t="shared" si="12"/>
        <v>0.33203805298713784</v>
      </c>
      <c r="P18" s="97">
        <v>0.18538318385384195</v>
      </c>
      <c r="Q18" s="141">
        <f t="shared" si="4"/>
        <v>0.28801432746393918</v>
      </c>
    </row>
    <row r="19" spans="1:17" x14ac:dyDescent="0.25">
      <c r="A19" s="95" t="s">
        <v>17</v>
      </c>
      <c r="B19" s="101">
        <f>$B$10/($B$7*B18)</f>
        <v>0.868012373555622</v>
      </c>
      <c r="C19" s="95">
        <f t="shared" si="1"/>
        <v>-2.1999999999999997</v>
      </c>
      <c r="D19" s="95">
        <f t="shared" si="5"/>
        <v>2.1999999999999997E-3</v>
      </c>
      <c r="E19" s="99">
        <f t="shared" si="6"/>
        <v>3.5409284885857514E-4</v>
      </c>
      <c r="F19" s="100">
        <f t="shared" si="7"/>
        <v>0.2841412615532603</v>
      </c>
      <c r="G19" s="99">
        <f t="shared" si="8"/>
        <v>0.2133127434213557</v>
      </c>
      <c r="H19" s="100">
        <f t="shared" si="9"/>
        <v>0.8532509736854228</v>
      </c>
      <c r="I19" s="98">
        <f t="shared" si="2"/>
        <v>4.4266254868427115</v>
      </c>
      <c r="J19" s="98">
        <f t="shared" si="3"/>
        <v>0.19275427212479265</v>
      </c>
      <c r="K19" s="100">
        <f t="shared" si="10"/>
        <v>1.1719881146818132</v>
      </c>
      <c r="L19" s="100">
        <f t="shared" si="0"/>
        <v>7.0007958254609121E-2</v>
      </c>
      <c r="M19" s="100">
        <f t="shared" si="11"/>
        <v>2.7239846936810571E-3</v>
      </c>
      <c r="N19" s="151">
        <f t="shared" si="12"/>
        <v>0.34361203993966083</v>
      </c>
      <c r="P19" s="97">
        <v>0.18538318385384195</v>
      </c>
      <c r="Q19" s="141">
        <f t="shared" si="4"/>
        <v>0.28801432746393918</v>
      </c>
    </row>
    <row r="20" spans="1:17" x14ac:dyDescent="0.25">
      <c r="C20" s="95">
        <f t="shared" si="1"/>
        <v>-2.4</v>
      </c>
      <c r="D20" s="95">
        <f t="shared" si="5"/>
        <v>2.3999999999999998E-3</v>
      </c>
      <c r="E20" s="99">
        <f t="shared" si="6"/>
        <v>3.4479693873621146E-4</v>
      </c>
      <c r="F20" s="100">
        <f t="shared" si="7"/>
        <v>0.28448605849199654</v>
      </c>
      <c r="G20" s="99">
        <f t="shared" si="8"/>
        <v>0.21447810023738742</v>
      </c>
      <c r="H20" s="100">
        <f t="shared" si="9"/>
        <v>0.85791240094954968</v>
      </c>
      <c r="I20" s="98">
        <f t="shared" si="2"/>
        <v>4.4289562004747749</v>
      </c>
      <c r="J20" s="98">
        <f t="shared" si="3"/>
        <v>0.1937053251638802</v>
      </c>
      <c r="K20" s="100">
        <f t="shared" si="10"/>
        <v>1.165620171585334</v>
      </c>
      <c r="L20" s="100">
        <f t="shared" si="0"/>
        <v>6.9249255066596502E-2</v>
      </c>
      <c r="M20" s="100">
        <f t="shared" si="11"/>
        <v>2.6812345636862199E-3</v>
      </c>
      <c r="N20" s="151">
        <f t="shared" si="12"/>
        <v>0.35425337141693758</v>
      </c>
      <c r="P20" s="97">
        <v>0.18538318385384195</v>
      </c>
      <c r="Q20" s="141">
        <f t="shared" si="4"/>
        <v>0.28801432746393918</v>
      </c>
    </row>
    <row r="21" spans="1:17" x14ac:dyDescent="0.25">
      <c r="A21" s="101" t="s">
        <v>15</v>
      </c>
      <c r="B21" s="101">
        <f>($B$10^2/($B$7^2*9.81))^(1/3)</f>
        <v>0.18538318385384195</v>
      </c>
      <c r="C21" s="95">
        <f t="shared" si="1"/>
        <v>-2.6</v>
      </c>
      <c r="D21" s="95">
        <f t="shared" si="5"/>
        <v>2.6000000000000003E-3</v>
      </c>
      <c r="E21" s="99">
        <f t="shared" si="6"/>
        <v>3.3624691273724397E-4</v>
      </c>
      <c r="F21" s="100">
        <f t="shared" si="7"/>
        <v>0.2848223054047338</v>
      </c>
      <c r="G21" s="99">
        <f t="shared" si="8"/>
        <v>0.21557305033813728</v>
      </c>
      <c r="H21" s="100">
        <f t="shared" si="9"/>
        <v>0.86229220135254914</v>
      </c>
      <c r="I21" s="98">
        <f t="shared" si="2"/>
        <v>4.4311461006762745</v>
      </c>
      <c r="J21" s="98">
        <f t="shared" si="3"/>
        <v>0.19459800732387214</v>
      </c>
      <c r="K21" s="100">
        <f t="shared" si="10"/>
        <v>1.1596996916259352</v>
      </c>
      <c r="L21" s="100">
        <f t="shared" si="0"/>
        <v>6.8547572617598834E-2</v>
      </c>
      <c r="M21" s="100">
        <f t="shared" si="11"/>
        <v>2.6418913621060686E-3</v>
      </c>
      <c r="N21" s="151">
        <f t="shared" si="12"/>
        <v>0.364043209389314</v>
      </c>
      <c r="P21" s="97">
        <v>0.18538318385384195</v>
      </c>
      <c r="Q21" s="141">
        <f t="shared" si="4"/>
        <v>0.28801432746393918</v>
      </c>
    </row>
    <row r="22" spans="1:17" x14ac:dyDescent="0.25">
      <c r="A22" s="102" t="s">
        <v>124</v>
      </c>
      <c r="B22" s="101">
        <f>$B$13/8</f>
        <v>3.7499999999999999E-3</v>
      </c>
      <c r="C22" s="95">
        <f t="shared" si="1"/>
        <v>-2.8000000000000003</v>
      </c>
      <c r="D22" s="95">
        <f t="shared" si="5"/>
        <v>2.8000000000000004E-3</v>
      </c>
      <c r="E22" s="99">
        <f t="shared" si="6"/>
        <v>3.2837827242121373E-4</v>
      </c>
      <c r="F22" s="100">
        <f t="shared" si="7"/>
        <v>0.28515068367715501</v>
      </c>
      <c r="G22" s="99">
        <f t="shared" si="8"/>
        <v>0.21660311105955618</v>
      </c>
      <c r="H22" s="100">
        <f t="shared" si="9"/>
        <v>0.86641244423822472</v>
      </c>
      <c r="I22" s="98">
        <f t="shared" si="2"/>
        <v>4.4332062221191126</v>
      </c>
      <c r="J22" s="98">
        <f t="shared" si="3"/>
        <v>0.19543698191059375</v>
      </c>
      <c r="K22" s="100">
        <f t="shared" si="10"/>
        <v>1.154184714970512</v>
      </c>
      <c r="L22" s="100">
        <f t="shared" si="0"/>
        <v>6.7897163928214169E-2</v>
      </c>
      <c r="M22" s="100">
        <f t="shared" si="11"/>
        <v>2.6055904286045634E-3</v>
      </c>
      <c r="N22" s="151">
        <f t="shared" si="12"/>
        <v>0.37307304963366406</v>
      </c>
      <c r="P22" s="97">
        <v>0.18538318385384195</v>
      </c>
      <c r="Q22" s="141">
        <f t="shared" si="4"/>
        <v>0.28801432746393918</v>
      </c>
    </row>
    <row r="23" spans="1:17" x14ac:dyDescent="0.25">
      <c r="A23" s="95" t="s">
        <v>22</v>
      </c>
      <c r="C23" s="95">
        <f t="shared" si="1"/>
        <v>-3.0000000000000004</v>
      </c>
      <c r="D23" s="95">
        <f t="shared" si="5"/>
        <v>3.0000000000000005E-3</v>
      </c>
      <c r="E23" s="99">
        <f t="shared" si="6"/>
        <v>3.2111808572091269E-4</v>
      </c>
      <c r="F23" s="100">
        <f t="shared" si="7"/>
        <v>0.28547180176287595</v>
      </c>
      <c r="G23" s="99">
        <f t="shared" si="8"/>
        <v>0.2175746378346618</v>
      </c>
      <c r="H23" s="100">
        <f t="shared" si="9"/>
        <v>0.8702985513386472</v>
      </c>
      <c r="I23" s="98">
        <f t="shared" si="2"/>
        <v>4.4351492756693238</v>
      </c>
      <c r="J23" s="98">
        <f t="shared" si="3"/>
        <v>0.19622756693060966</v>
      </c>
      <c r="K23" s="100">
        <f t="shared" si="10"/>
        <v>1.1490309830596097</v>
      </c>
      <c r="L23" s="100">
        <f t="shared" si="0"/>
        <v>6.7292161061719313E-2</v>
      </c>
      <c r="M23" s="100">
        <f t="shared" si="11"/>
        <v>2.5719689432900355E-3</v>
      </c>
      <c r="N23" s="151">
        <f t="shared" si="12"/>
        <v>0.38143377618437657</v>
      </c>
      <c r="P23" s="97">
        <v>0.18538318385384195</v>
      </c>
      <c r="Q23" s="141">
        <f t="shared" si="4"/>
        <v>0.28801432746393918</v>
      </c>
    </row>
    <row r="24" spans="1:17" x14ac:dyDescent="0.25">
      <c r="A24" s="95" t="s">
        <v>23</v>
      </c>
      <c r="C24" s="95">
        <f t="shared" si="1"/>
        <v>-3.2000000000000006</v>
      </c>
      <c r="D24" s="95">
        <f t="shared" si="5"/>
        <v>3.2000000000000006E-3</v>
      </c>
      <c r="E24" s="99">
        <f t="shared" si="6"/>
        <v>3.1439378865800712E-4</v>
      </c>
      <c r="F24" s="100">
        <f t="shared" si="7"/>
        <v>0.28578619555153395</v>
      </c>
      <c r="G24" s="99">
        <f t="shared" si="8"/>
        <v>0.21849403448981464</v>
      </c>
      <c r="H24" s="100">
        <f t="shared" si="9"/>
        <v>0.87397613795925855</v>
      </c>
      <c r="I24" s="98">
        <f t="shared" si="2"/>
        <v>4.4369880689796295</v>
      </c>
      <c r="J24" s="98">
        <f t="shared" si="3"/>
        <v>0.19697509309738714</v>
      </c>
      <c r="K24" s="100">
        <f t="shared" si="10"/>
        <v>1.1441959986859689</v>
      </c>
      <c r="L24" s="100">
        <f t="shared" si="0"/>
        <v>6.6727037890366034E-2</v>
      </c>
      <c r="M24" s="100">
        <f t="shared" si="11"/>
        <v>2.5406906848385886E-3</v>
      </c>
      <c r="N24" s="151">
        <f t="shared" si="12"/>
        <v>0.38920952193340919</v>
      </c>
      <c r="P24" s="97">
        <v>0.18538318385384195</v>
      </c>
      <c r="Q24" s="141">
        <f t="shared" si="4"/>
        <v>0.28801432746393918</v>
      </c>
    </row>
    <row r="25" spans="1:17" x14ac:dyDescent="0.25">
      <c r="A25" s="95" t="s">
        <v>24</v>
      </c>
      <c r="C25" s="95">
        <f t="shared" si="1"/>
        <v>-3.4000000000000008</v>
      </c>
      <c r="D25" s="95">
        <f t="shared" si="5"/>
        <v>3.4000000000000007E-3</v>
      </c>
      <c r="E25" s="99">
        <f t="shared" si="6"/>
        <v>3.0813813696771772E-4</v>
      </c>
      <c r="F25" s="100">
        <f t="shared" si="7"/>
        <v>0.28609433368850168</v>
      </c>
      <c r="G25" s="99">
        <f t="shared" si="8"/>
        <v>0.21936729579813563</v>
      </c>
      <c r="H25" s="100">
        <f t="shared" si="9"/>
        <v>0.87746918319254252</v>
      </c>
      <c r="I25" s="98">
        <f t="shared" si="2"/>
        <v>4.4387345915962708</v>
      </c>
      <c r="J25" s="98">
        <f t="shared" si="3"/>
        <v>0.19768453487933921</v>
      </c>
      <c r="K25" s="100">
        <f t="shared" si="10"/>
        <v>1.1396411625097158</v>
      </c>
      <c r="L25" s="100">
        <f t="shared" si="0"/>
        <v>6.6196838903491151E-2</v>
      </c>
      <c r="M25" s="100">
        <f t="shared" si="11"/>
        <v>2.511457419161383E-3</v>
      </c>
      <c r="N25" s="151">
        <f t="shared" si="12"/>
        <v>0.39647486046045566</v>
      </c>
      <c r="P25" s="97">
        <v>0.18538318385384195</v>
      </c>
      <c r="Q25" s="141">
        <f t="shared" si="4"/>
        <v>0.28801432746393918</v>
      </c>
    </row>
    <row r="26" spans="1:17" x14ac:dyDescent="0.25">
      <c r="C26" s="95">
        <f t="shared" si="1"/>
        <v>-3.600000000000001</v>
      </c>
      <c r="D26" s="95">
        <f t="shared" si="5"/>
        <v>3.6000000000000012E-3</v>
      </c>
      <c r="E26" s="99">
        <f t="shared" si="6"/>
        <v>3.0229148383227665E-4</v>
      </c>
      <c r="F26" s="100">
        <f t="shared" si="7"/>
        <v>0.28639662517233394</v>
      </c>
      <c r="G26" s="99">
        <f t="shared" si="8"/>
        <v>0.22019978626884279</v>
      </c>
      <c r="H26" s="100">
        <f t="shared" si="9"/>
        <v>0.88079914507537116</v>
      </c>
      <c r="I26" s="98">
        <f t="shared" si="2"/>
        <v>4.4403995725376859</v>
      </c>
      <c r="J26" s="98">
        <f t="shared" si="3"/>
        <v>0.19836033462456959</v>
      </c>
      <c r="K26" s="100">
        <f t="shared" si="10"/>
        <v>1.1353326187827177</v>
      </c>
      <c r="L26" s="100">
        <f t="shared" si="0"/>
        <v>6.569725562038857E-2</v>
      </c>
      <c r="M26" s="100">
        <f t="shared" si="11"/>
        <v>2.4840118266864584E-3</v>
      </c>
      <c r="N26" s="151">
        <f t="shared" si="12"/>
        <v>0.40329410183733305</v>
      </c>
      <c r="P26" s="97">
        <v>0.18538318385384195</v>
      </c>
      <c r="Q26" s="141">
        <f t="shared" si="4"/>
        <v>0.28801432746393918</v>
      </c>
    </row>
    <row r="27" spans="1:17" x14ac:dyDescent="0.25">
      <c r="C27" s="95">
        <f t="shared" si="1"/>
        <v>-3.8000000000000012</v>
      </c>
      <c r="D27" s="95">
        <f t="shared" si="5"/>
        <v>3.8000000000000013E-3</v>
      </c>
      <c r="E27" s="99">
        <f t="shared" si="6"/>
        <v>2.968023653372917E-4</v>
      </c>
      <c r="F27" s="100">
        <f t="shared" si="7"/>
        <v>0.28669342753767124</v>
      </c>
      <c r="G27" s="99">
        <f t="shared" si="8"/>
        <v>0.22099617191728266</v>
      </c>
      <c r="H27" s="100">
        <f t="shared" si="9"/>
        <v>0.88398468766913063</v>
      </c>
      <c r="I27" s="98">
        <f t="shared" si="2"/>
        <v>4.4419923438345652</v>
      </c>
      <c r="J27" s="98">
        <f t="shared" si="3"/>
        <v>0.19900635103437117</v>
      </c>
      <c r="K27" s="100">
        <f t="shared" si="10"/>
        <v>1.1312413144132345</v>
      </c>
      <c r="L27" s="100">
        <f t="shared" si="0"/>
        <v>6.5224613223006239E-2</v>
      </c>
      <c r="M27" s="100">
        <f t="shared" si="11"/>
        <v>2.4581356154209258E-3</v>
      </c>
      <c r="N27" s="151">
        <f t="shared" si="12"/>
        <v>0.40972178244409252</v>
      </c>
      <c r="P27" s="97">
        <v>0.18538318385384195</v>
      </c>
      <c r="Q27" s="141">
        <f t="shared" si="4"/>
        <v>0.28801432746393918</v>
      </c>
    </row>
    <row r="28" spans="1:17" x14ac:dyDescent="0.25">
      <c r="C28" s="95">
        <f t="shared" si="1"/>
        <v>-4.0000000000000009</v>
      </c>
      <c r="D28" s="95">
        <f t="shared" si="5"/>
        <v>4.000000000000001E-3</v>
      </c>
      <c r="E28" s="99">
        <f t="shared" si="6"/>
        <v>2.9162712308418518E-4</v>
      </c>
      <c r="F28" s="100">
        <f t="shared" si="7"/>
        <v>0.28698505466075541</v>
      </c>
      <c r="G28" s="99">
        <f t="shared" si="8"/>
        <v>0.22176044143774917</v>
      </c>
      <c r="H28" s="100">
        <f t="shared" si="9"/>
        <v>0.88704176575099669</v>
      </c>
      <c r="I28" s="98">
        <f t="shared" si="2"/>
        <v>4.4435208828754984</v>
      </c>
      <c r="J28" s="98">
        <f t="shared" si="3"/>
        <v>0.19962587982189764</v>
      </c>
      <c r="K28" s="100">
        <f t="shared" si="10"/>
        <v>1.1273426332449741</v>
      </c>
      <c r="L28" s="100">
        <f t="shared" si="0"/>
        <v>6.4775811046468512E-2</v>
      </c>
      <c r="M28" s="100">
        <f t="shared" si="11"/>
        <v>2.4336452932953974E-3</v>
      </c>
      <c r="N28" s="151">
        <f t="shared" si="12"/>
        <v>0.41580373283436256</v>
      </c>
      <c r="P28" s="97">
        <v>0.18538318385384195</v>
      </c>
      <c r="Q28" s="141">
        <f t="shared" si="4"/>
        <v>0.28801432746393918</v>
      </c>
    </row>
    <row r="29" spans="1:17" x14ac:dyDescent="0.25">
      <c r="C29" s="95">
        <f t="shared" si="1"/>
        <v>-4.2000000000000011</v>
      </c>
      <c r="D29" s="95">
        <f t="shared" si="5"/>
        <v>4.2000000000000015E-3</v>
      </c>
      <c r="E29" s="99">
        <f t="shared" si="6"/>
        <v>2.8672905865907949E-4</v>
      </c>
      <c r="F29" s="100">
        <f t="shared" si="7"/>
        <v>0.28727178371941448</v>
      </c>
      <c r="G29" s="99">
        <f t="shared" si="8"/>
        <v>0.22249597267294596</v>
      </c>
      <c r="H29" s="100">
        <f t="shared" si="9"/>
        <v>0.88998389069178385</v>
      </c>
      <c r="I29" s="98">
        <f t="shared" si="2"/>
        <v>4.4449919453458921</v>
      </c>
      <c r="J29" s="98">
        <f t="shared" si="3"/>
        <v>0.2002217105530725</v>
      </c>
      <c r="K29" s="100">
        <f t="shared" si="10"/>
        <v>1.1236158434538637</v>
      </c>
      <c r="L29" s="100">
        <f t="shared" si="0"/>
        <v>6.4348244834889767E-2</v>
      </c>
      <c r="M29" s="100">
        <f t="shared" si="11"/>
        <v>2.4103871399787486E-3</v>
      </c>
      <c r="N29" s="151">
        <f t="shared" si="12"/>
        <v>0.42157834084055668</v>
      </c>
      <c r="P29" s="97">
        <v>0.18538318385384195</v>
      </c>
      <c r="Q29" s="141">
        <f t="shared" si="4"/>
        <v>0.28801432746393918</v>
      </c>
    </row>
    <row r="30" spans="1:17" x14ac:dyDescent="0.25">
      <c r="C30" s="95">
        <f t="shared" si="1"/>
        <v>-4.4000000000000012</v>
      </c>
      <c r="D30" s="95">
        <f t="shared" si="5"/>
        <v>4.4000000000000011E-3</v>
      </c>
      <c r="E30" s="99">
        <f t="shared" si="6"/>
        <v>2.8207742799574972E-4</v>
      </c>
      <c r="F30" s="100">
        <f t="shared" si="7"/>
        <v>0.28755386114741022</v>
      </c>
      <c r="G30" s="99">
        <f t="shared" si="8"/>
        <v>0.22320561631252045</v>
      </c>
      <c r="H30" s="100">
        <f t="shared" si="9"/>
        <v>0.8928224652500818</v>
      </c>
      <c r="I30" s="98">
        <f t="shared" si="2"/>
        <v>4.4464112326250405</v>
      </c>
      <c r="J30" s="98">
        <f t="shared" si="3"/>
        <v>0.20079619687425621</v>
      </c>
      <c r="K30" s="100">
        <f t="shared" si="10"/>
        <v>1.1200435012798402</v>
      </c>
      <c r="L30" s="100">
        <f t="shared" si="0"/>
        <v>6.3939727051947171E-2</v>
      </c>
      <c r="M30" s="100">
        <f t="shared" si="11"/>
        <v>2.3882322491890081E-3</v>
      </c>
      <c r="N30" s="151">
        <f t="shared" si="12"/>
        <v>0.42707779393487844</v>
      </c>
      <c r="P30" s="97">
        <v>0.18538318385384195</v>
      </c>
      <c r="Q30" s="141">
        <f t="shared" si="4"/>
        <v>0.28801432746393918</v>
      </c>
    </row>
    <row r="31" spans="1:17" x14ac:dyDescent="0.25">
      <c r="C31" s="95">
        <f t="shared" si="1"/>
        <v>-4.6000000000000014</v>
      </c>
      <c r="D31" s="95">
        <f t="shared" si="5"/>
        <v>4.6000000000000017E-3</v>
      </c>
      <c r="E31" s="99">
        <f t="shared" si="6"/>
        <v>2.776464498378016E-4</v>
      </c>
      <c r="F31" s="100">
        <f t="shared" si="7"/>
        <v>0.28783150759724802</v>
      </c>
      <c r="G31" s="99">
        <f t="shared" si="8"/>
        <v>0.22389178054530084</v>
      </c>
      <c r="H31" s="100">
        <f t="shared" si="9"/>
        <v>0.89556712218120338</v>
      </c>
      <c r="I31" s="98">
        <f t="shared" si="2"/>
        <v>4.4477835610906018</v>
      </c>
      <c r="J31" s="98">
        <f t="shared" si="3"/>
        <v>0.20135132698804464</v>
      </c>
      <c r="K31" s="100">
        <f t="shared" si="10"/>
        <v>1.1166108884886758</v>
      </c>
      <c r="L31" s="100">
        <f t="shared" si="0"/>
        <v>6.354841367438685E-2</v>
      </c>
      <c r="M31" s="100">
        <f t="shared" si="11"/>
        <v>2.3670720709290413E-3</v>
      </c>
      <c r="N31" s="151">
        <f t="shared" si="12"/>
        <v>0.432329194759976</v>
      </c>
      <c r="P31" s="97">
        <v>0.18538318385384195</v>
      </c>
      <c r="Q31" s="141">
        <f t="shared" si="4"/>
        <v>0.28801432746393918</v>
      </c>
    </row>
    <row r="32" spans="1:17" x14ac:dyDescent="0.25">
      <c r="C32" s="95">
        <f t="shared" si="1"/>
        <v>-4.8000000000000016</v>
      </c>
      <c r="D32" s="95">
        <f t="shared" si="5"/>
        <v>4.8000000000000013E-3</v>
      </c>
      <c r="E32" s="99">
        <f t="shared" si="6"/>
        <v>2.7341441418580824E-4</v>
      </c>
      <c r="F32" s="100">
        <f t="shared" si="7"/>
        <v>0.28810492201143384</v>
      </c>
      <c r="G32" s="99">
        <f t="shared" si="8"/>
        <v>0.22455650833704699</v>
      </c>
      <c r="H32" s="100">
        <f t="shared" si="9"/>
        <v>0.89822603334818796</v>
      </c>
      <c r="I32" s="98">
        <f t="shared" si="2"/>
        <v>4.4491130166740938</v>
      </c>
      <c r="J32" s="98">
        <f t="shared" si="3"/>
        <v>0.20188878771608529</v>
      </c>
      <c r="K32" s="100">
        <f t="shared" si="10"/>
        <v>1.1133055187372425</v>
      </c>
      <c r="L32" s="100">
        <f t="shared" si="0"/>
        <v>6.3172740981182487E-2</v>
      </c>
      <c r="M32" s="100">
        <f t="shared" si="11"/>
        <v>2.346814613722699E-3</v>
      </c>
      <c r="N32" s="151">
        <f t="shared" si="12"/>
        <v>0.43735551065512945</v>
      </c>
      <c r="P32" s="97">
        <v>0.18538318385384195</v>
      </c>
      <c r="Q32" s="141">
        <f t="shared" si="4"/>
        <v>0.28801432746393918</v>
      </c>
    </row>
    <row r="33" spans="3:20" x14ac:dyDescent="0.25">
      <c r="C33" s="95">
        <f t="shared" si="1"/>
        <v>-5.0000000000000018</v>
      </c>
      <c r="D33" s="95">
        <f t="shared" si="5"/>
        <v>5.0000000000000018E-3</v>
      </c>
      <c r="E33" s="99">
        <f t="shared" si="6"/>
        <v>2.6936292274453978E-4</v>
      </c>
      <c r="F33" s="100">
        <f t="shared" si="7"/>
        <v>0.28837428493417838</v>
      </c>
      <c r="G33" s="99">
        <f t="shared" si="8"/>
        <v>0.22520154395299591</v>
      </c>
      <c r="H33" s="100">
        <f t="shared" si="9"/>
        <v>0.90080617581198363</v>
      </c>
      <c r="I33" s="98">
        <f t="shared" si="2"/>
        <v>4.4504030879059915</v>
      </c>
      <c r="J33" s="98">
        <f t="shared" si="3"/>
        <v>0.20241001950136431</v>
      </c>
      <c r="K33" s="100">
        <f t="shared" si="10"/>
        <v>1.110116723054883</v>
      </c>
      <c r="L33" s="100">
        <f t="shared" si="0"/>
        <v>6.2811373027834433E-2</v>
      </c>
      <c r="M33" s="100">
        <f t="shared" si="11"/>
        <v>2.3273813167415014E-3</v>
      </c>
      <c r="N33" s="151">
        <f t="shared" si="12"/>
        <v>0.44217635523010068</v>
      </c>
      <c r="P33" s="97">
        <v>0.18538318385384195</v>
      </c>
      <c r="Q33" s="141">
        <f t="shared" si="4"/>
        <v>0.28801432746393918</v>
      </c>
    </row>
    <row r="34" spans="3:20" x14ac:dyDescent="0.25">
      <c r="C34" s="95">
        <f t="shared" si="1"/>
        <v>-5.200000000000002</v>
      </c>
      <c r="D34" s="95">
        <f t="shared" si="5"/>
        <v>5.2000000000000024E-3</v>
      </c>
      <c r="E34" s="99">
        <f t="shared" si="6"/>
        <v>2.6547626334830031E-4</v>
      </c>
      <c r="F34" s="100">
        <f t="shared" si="7"/>
        <v>0.28863976119752666</v>
      </c>
      <c r="G34" s="99">
        <f t="shared" si="8"/>
        <v>0.22582838816969222</v>
      </c>
      <c r="H34" s="100">
        <f t="shared" si="9"/>
        <v>0.90331355267876889</v>
      </c>
      <c r="I34" s="98">
        <f t="shared" si="2"/>
        <v>4.4516567763393846</v>
      </c>
      <c r="J34" s="98">
        <f t="shared" si="3"/>
        <v>0.2029162619813577</v>
      </c>
      <c r="K34" s="100">
        <f t="shared" si="10"/>
        <v>1.1070353113096867</v>
      </c>
      <c r="L34" s="100">
        <f t="shared" si="0"/>
        <v>6.2463159046204628E-2</v>
      </c>
      <c r="M34" s="100">
        <f t="shared" si="11"/>
        <v>2.3087045280263158E-3</v>
      </c>
      <c r="N34" s="151">
        <f t="shared" si="12"/>
        <v>0.44680861823918694</v>
      </c>
      <c r="P34" s="97">
        <v>0.18538318385384195</v>
      </c>
      <c r="Q34" s="141">
        <f t="shared" si="4"/>
        <v>0.28801432746393918</v>
      </c>
    </row>
    <row r="35" spans="3:20" x14ac:dyDescent="0.25">
      <c r="C35" s="95">
        <f t="shared" si="1"/>
        <v>-5.4000000000000021</v>
      </c>
      <c r="D35" s="95">
        <f t="shared" si="5"/>
        <v>5.400000000000002E-3</v>
      </c>
      <c r="E35" s="99">
        <f t="shared" si="6"/>
        <v>2.6174090560526314E-4</v>
      </c>
      <c r="F35" s="100">
        <f t="shared" si="7"/>
        <v>0.28890150210313192</v>
      </c>
      <c r="G35" s="99">
        <f t="shared" si="8"/>
        <v>0.22643834305692728</v>
      </c>
      <c r="H35" s="100">
        <f t="shared" si="9"/>
        <v>0.90575337222770913</v>
      </c>
      <c r="I35" s="98">
        <f t="shared" si="2"/>
        <v>4.4528766861138545</v>
      </c>
      <c r="J35" s="98">
        <f t="shared" si="3"/>
        <v>0.20340859091208846</v>
      </c>
      <c r="K35" s="100">
        <f t="shared" si="10"/>
        <v>1.1040533004481015</v>
      </c>
      <c r="L35" s="100">
        <f t="shared" si="0"/>
        <v>6.2127099400119561E-2</v>
      </c>
      <c r="M35" s="100">
        <f t="shared" si="11"/>
        <v>2.2907254969495262E-3</v>
      </c>
      <c r="N35" s="151">
        <f t="shared" si="12"/>
        <v>0.45126696688024592</v>
      </c>
      <c r="P35" s="97">
        <v>0.18538318385384195</v>
      </c>
      <c r="Q35" s="141">
        <f t="shared" si="4"/>
        <v>0.28801432746393918</v>
      </c>
    </row>
    <row r="36" spans="3:20" x14ac:dyDescent="0.25">
      <c r="C36" s="95">
        <f t="shared" si="1"/>
        <v>-5.6000000000000023</v>
      </c>
      <c r="D36" s="95">
        <f t="shared" si="5"/>
        <v>5.6000000000000025E-3</v>
      </c>
      <c r="E36" s="99">
        <f t="shared" si="6"/>
        <v>2.5814509938990526E-4</v>
      </c>
      <c r="F36" s="100">
        <f t="shared" si="7"/>
        <v>0.28915964720252185</v>
      </c>
      <c r="G36" s="99">
        <f t="shared" si="8"/>
        <v>0.22703254780240228</v>
      </c>
      <c r="H36" s="100">
        <f t="shared" si="9"/>
        <v>0.90813019120960914</v>
      </c>
      <c r="I36" s="98">
        <f t="shared" si="2"/>
        <v>4.4540650956048049</v>
      </c>
      <c r="J36" s="98">
        <f t="shared" si="3"/>
        <v>0.20388794768754873</v>
      </c>
      <c r="K36" s="100">
        <f t="shared" si="10"/>
        <v>1.1011636984208424</v>
      </c>
      <c r="L36" s="100">
        <f t="shared" si="0"/>
        <v>6.1802318589187964E-2</v>
      </c>
      <c r="M36" s="100">
        <f t="shared" si="11"/>
        <v>2.2733927859690567E-3</v>
      </c>
      <c r="N36" s="151">
        <f t="shared" si="12"/>
        <v>0.45556424233077275</v>
      </c>
      <c r="P36" s="97">
        <v>0.18538318385384195</v>
      </c>
      <c r="Q36" s="141">
        <f t="shared" si="4"/>
        <v>0.28801432746393918</v>
      </c>
    </row>
    <row r="37" spans="3:20" x14ac:dyDescent="0.25">
      <c r="C37" s="95">
        <f t="shared" si="1"/>
        <v>-5.8000000000000025</v>
      </c>
      <c r="D37" s="95">
        <f t="shared" si="5"/>
        <v>5.8000000000000022E-3</v>
      </c>
      <c r="E37" s="99">
        <f t="shared" si="6"/>
        <v>2.5467855719381137E-4</v>
      </c>
      <c r="F37" s="100">
        <f t="shared" si="7"/>
        <v>0.28941432575971565</v>
      </c>
      <c r="G37" s="99">
        <f t="shared" si="8"/>
        <v>0.22761200717052768</v>
      </c>
      <c r="H37" s="100">
        <f t="shared" si="9"/>
        <v>0.91044802868211072</v>
      </c>
      <c r="I37" s="98">
        <f t="shared" si="2"/>
        <v>4.4552240143410557</v>
      </c>
      <c r="J37" s="98">
        <f t="shared" si="3"/>
        <v>0.20435516278226235</v>
      </c>
      <c r="K37" s="100">
        <f t="shared" si="10"/>
        <v>1.0983603330412142</v>
      </c>
      <c r="L37" s="100">
        <f t="shared" si="0"/>
        <v>6.1488043893904526E-2</v>
      </c>
      <c r="M37" s="100">
        <f t="shared" si="11"/>
        <v>2.2566610156829949E-3</v>
      </c>
      <c r="N37" s="151">
        <f t="shared" si="12"/>
        <v>0.4597117730451058</v>
      </c>
      <c r="P37" s="97">
        <v>0.18538318385384195</v>
      </c>
      <c r="Q37" s="141">
        <f t="shared" si="4"/>
        <v>0.28801432746393918</v>
      </c>
    </row>
    <row r="38" spans="3:20" x14ac:dyDescent="0.25">
      <c r="C38" s="95">
        <f t="shared" si="1"/>
        <v>-6.0000000000000027</v>
      </c>
      <c r="D38" s="95">
        <f t="shared" si="5"/>
        <v>6.0000000000000027E-3</v>
      </c>
      <c r="E38" s="99">
        <f t="shared" si="6"/>
        <v>2.5133220313659901E-4</v>
      </c>
      <c r="F38" s="100">
        <f t="shared" si="7"/>
        <v>0.28966565796285226</v>
      </c>
      <c r="G38" s="99">
        <f t="shared" si="8"/>
        <v>0.22817761406894774</v>
      </c>
      <c r="H38" s="100">
        <f t="shared" si="9"/>
        <v>0.91271045627579095</v>
      </c>
      <c r="I38" s="98">
        <f t="shared" si="2"/>
        <v>4.4563552281378955</v>
      </c>
      <c r="J38" s="98">
        <f t="shared" si="3"/>
        <v>0.20481097433903858</v>
      </c>
      <c r="K38" s="100">
        <f t="shared" si="10"/>
        <v>1.0956377163469606</v>
      </c>
      <c r="L38" s="100">
        <f t="shared" si="0"/>
        <v>6.1183588454739188E-2</v>
      </c>
      <c r="M38" s="100">
        <f t="shared" si="11"/>
        <v>2.2404898706791534E-3</v>
      </c>
      <c r="N38" s="151">
        <f t="shared" si="12"/>
        <v>0.46371962294029845</v>
      </c>
      <c r="P38" s="97">
        <v>0.18538318385384195</v>
      </c>
      <c r="Q38" s="141">
        <f t="shared" si="4"/>
        <v>0.28801432746393918</v>
      </c>
    </row>
    <row r="39" spans="3:20" x14ac:dyDescent="0.25">
      <c r="C39" s="95">
        <f t="shared" si="1"/>
        <v>-6.2000000000000028</v>
      </c>
      <c r="D39" s="95">
        <f t="shared" si="5"/>
        <v>6.2000000000000033E-3</v>
      </c>
      <c r="E39" s="99">
        <f t="shared" si="6"/>
        <v>2.4809797413583067E-4</v>
      </c>
      <c r="F39" s="100">
        <f t="shared" si="7"/>
        <v>0.28991375593698809</v>
      </c>
      <c r="G39" s="99">
        <f t="shared" si="8"/>
        <v>0.22873016748224889</v>
      </c>
      <c r="H39" s="100">
        <f t="shared" si="9"/>
        <v>0.91492066992899557</v>
      </c>
      <c r="I39" s="98">
        <f t="shared" si="2"/>
        <v>4.4574603349644981</v>
      </c>
      <c r="J39" s="98">
        <f t="shared" si="3"/>
        <v>0.20525604294273156</v>
      </c>
      <c r="K39" s="100">
        <f t="shared" si="10"/>
        <v>1.0929909366651507</v>
      </c>
      <c r="L39" s="100">
        <f t="shared" si="0"/>
        <v>6.0888337799804459E-2</v>
      </c>
      <c r="M39" s="100">
        <f t="shared" si="11"/>
        <v>2.2248433076630381E-3</v>
      </c>
      <c r="N39" s="151">
        <f t="shared" si="12"/>
        <v>0.46759678908966107</v>
      </c>
      <c r="P39" s="97">
        <v>0.18538318385384195</v>
      </c>
      <c r="Q39" s="141">
        <f t="shared" si="4"/>
        <v>0.28801432746393918</v>
      </c>
    </row>
    <row r="40" spans="3:20" x14ac:dyDescent="0.25">
      <c r="C40" s="95">
        <f t="shared" si="1"/>
        <v>-6.400000000000003</v>
      </c>
      <c r="D40" s="95">
        <f t="shared" si="5"/>
        <v>6.4000000000000029E-3</v>
      </c>
      <c r="E40" s="99">
        <f t="shared" si="6"/>
        <v>2.4496866153260764E-4</v>
      </c>
      <c r="F40" s="100">
        <f t="shared" si="7"/>
        <v>0.29015872459852071</v>
      </c>
      <c r="G40" s="99">
        <f t="shared" si="8"/>
        <v>0.22927038679871625</v>
      </c>
      <c r="H40" s="100">
        <f t="shared" si="9"/>
        <v>0.91708154719486501</v>
      </c>
      <c r="I40" s="98">
        <f t="shared" si="2"/>
        <v>4.4585407735974325</v>
      </c>
      <c r="J40" s="98">
        <f t="shared" si="3"/>
        <v>0.20569096342588916</v>
      </c>
      <c r="K40" s="100">
        <f t="shared" si="10"/>
        <v>1.0904155721579645</v>
      </c>
      <c r="L40" s="100">
        <f t="shared" si="0"/>
        <v>6.0601739042027571E-2</v>
      </c>
      <c r="M40" s="100">
        <f t="shared" si="11"/>
        <v>2.2096889199460074E-3</v>
      </c>
      <c r="N40" s="151">
        <f t="shared" si="12"/>
        <v>0.47135136038975878</v>
      </c>
      <c r="P40" s="97">
        <v>0.18538318385384195</v>
      </c>
      <c r="Q40" s="141">
        <f t="shared" si="4"/>
        <v>0.28801432746393918</v>
      </c>
    </row>
    <row r="41" spans="3:20" x14ac:dyDescent="0.25">
      <c r="C41" s="95">
        <f t="shared" si="1"/>
        <v>-6.6000000000000032</v>
      </c>
      <c r="D41" s="95">
        <f t="shared" si="5"/>
        <v>6.6000000000000034E-3</v>
      </c>
      <c r="E41" s="99">
        <f t="shared" si="6"/>
        <v>2.4193778398920148E-4</v>
      </c>
      <c r="F41" s="100">
        <f t="shared" si="7"/>
        <v>0.29040066238250989</v>
      </c>
      <c r="G41" s="99">
        <f t="shared" si="8"/>
        <v>0.22979892334048233</v>
      </c>
      <c r="H41" s="100">
        <f t="shared" si="9"/>
        <v>0.9191956933619293</v>
      </c>
      <c r="I41" s="98">
        <f t="shared" si="2"/>
        <v>4.4595978466809649</v>
      </c>
      <c r="J41" s="98">
        <f t="shared" si="3"/>
        <v>0.20611627437349231</v>
      </c>
      <c r="K41" s="100">
        <f t="shared" si="10"/>
        <v>1.0879076210012815</v>
      </c>
      <c r="L41" s="100">
        <f t="shared" si="0"/>
        <v>6.0323292142337809E-2</v>
      </c>
      <c r="M41" s="100">
        <f t="shared" si="11"/>
        <v>2.1949974228998477E-3</v>
      </c>
      <c r="N41" s="151">
        <f t="shared" si="12"/>
        <v>0.47499064603571173</v>
      </c>
      <c r="P41" s="97">
        <v>0.18538318385384195</v>
      </c>
      <c r="Q41" s="141">
        <f t="shared" si="4"/>
        <v>0.28801432746393918</v>
      </c>
    </row>
    <row r="42" spans="3:20" x14ac:dyDescent="0.25">
      <c r="C42" s="95">
        <f t="shared" si="1"/>
        <v>-6.8000000000000034</v>
      </c>
      <c r="D42" s="95">
        <f t="shared" si="5"/>
        <v>6.8000000000000031E-3</v>
      </c>
      <c r="E42" s="99">
        <f t="shared" si="6"/>
        <v>2.3899948457996954E-4</v>
      </c>
      <c r="F42" s="100">
        <f t="shared" si="7"/>
        <v>0.29063966186708984</v>
      </c>
      <c r="G42" s="99">
        <f t="shared" si="8"/>
        <v>0.23031636972475203</v>
      </c>
      <c r="H42" s="100">
        <f t="shared" si="9"/>
        <v>0.92126547889900812</v>
      </c>
      <c r="I42" s="98">
        <f t="shared" si="2"/>
        <v>4.4606327394495038</v>
      </c>
      <c r="J42" s="98">
        <f t="shared" si="3"/>
        <v>0.20653246584310894</v>
      </c>
      <c r="K42" s="100">
        <f t="shared" si="10"/>
        <v>1.0854634444732332</v>
      </c>
      <c r="L42" s="100">
        <f t="shared" si="0"/>
        <v>6.005254277715065E-2</v>
      </c>
      <c r="M42" s="100">
        <f t="shared" si="11"/>
        <v>2.1807422333821784E-3</v>
      </c>
      <c r="N42" s="151">
        <f t="shared" si="12"/>
        <v>0.47852128054190313</v>
      </c>
      <c r="P42" s="97">
        <v>0.18538318385384195</v>
      </c>
      <c r="Q42" s="141">
        <f t="shared" si="4"/>
        <v>0.28801432746393918</v>
      </c>
    </row>
    <row r="43" spans="3:20" x14ac:dyDescent="0.25">
      <c r="C43" s="95">
        <f t="shared" si="1"/>
        <v>-7.0000000000000036</v>
      </c>
      <c r="D43" s="95">
        <f t="shared" si="5"/>
        <v>7.0000000000000036E-3</v>
      </c>
      <c r="E43" s="99">
        <f t="shared" si="6"/>
        <v>2.3614844667643568E-4</v>
      </c>
      <c r="F43" s="100">
        <f t="shared" si="7"/>
        <v>0.29087581031376625</v>
      </c>
      <c r="G43" s="99">
        <f t="shared" si="8"/>
        <v>0.23082326753661558</v>
      </c>
      <c r="H43" s="100">
        <f t="shared" si="9"/>
        <v>0.92329307014646234</v>
      </c>
      <c r="I43" s="98">
        <f t="shared" si="2"/>
        <v>4.4616465350732311</v>
      </c>
      <c r="J43" s="98">
        <f t="shared" si="3"/>
        <v>0.2069399856955069</v>
      </c>
      <c r="K43" s="100">
        <f t="shared" si="10"/>
        <v>1.0830797201167877</v>
      </c>
      <c r="L43" s="100">
        <f t="shared" si="0"/>
        <v>5.9789076459136552E-2</v>
      </c>
      <c r="M43" s="100">
        <f t="shared" si="11"/>
        <v>2.1668991226438468E-3</v>
      </c>
      <c r="N43" s="151">
        <f t="shared" si="12"/>
        <v>0.48194931042077738</v>
      </c>
      <c r="P43" s="97">
        <v>0.18538318385384195</v>
      </c>
      <c r="Q43" s="141">
        <f t="shared" si="4"/>
        <v>0.28801432746393918</v>
      </c>
    </row>
    <row r="44" spans="3:20" x14ac:dyDescent="0.25">
      <c r="C44" s="95">
        <f t="shared" si="1"/>
        <v>-7.2000000000000037</v>
      </c>
      <c r="D44" s="95">
        <f t="shared" si="5"/>
        <v>7.2000000000000041E-3</v>
      </c>
      <c r="E44" s="99">
        <f t="shared" si="6"/>
        <v>2.3337982452876937E-4</v>
      </c>
      <c r="F44" s="100">
        <f t="shared" si="7"/>
        <v>0.291109190138295</v>
      </c>
      <c r="G44" s="99">
        <f t="shared" si="8"/>
        <v>0.23132011367915845</v>
      </c>
      <c r="H44" s="100">
        <f t="shared" si="9"/>
        <v>0.92528045471663378</v>
      </c>
      <c r="I44" s="98">
        <f t="shared" si="2"/>
        <v>4.4626402273583166</v>
      </c>
      <c r="J44" s="98">
        <f t="shared" si="3"/>
        <v>0.20733924483631486</v>
      </c>
      <c r="K44" s="100">
        <f t="shared" si="10"/>
        <v>1.0807534028223356</v>
      </c>
      <c r="L44" s="100">
        <f t="shared" si="0"/>
        <v>5.9532513644855123E-2</v>
      </c>
      <c r="M44" s="100">
        <f t="shared" si="11"/>
        <v>2.1534459271755355E-3</v>
      </c>
      <c r="N44" s="151">
        <f t="shared" si="12"/>
        <v>0.48528026639804556</v>
      </c>
      <c r="P44" s="97">
        <v>0.18538318385384195</v>
      </c>
      <c r="Q44" s="141">
        <f t="shared" si="4"/>
        <v>0.28801432746393918</v>
      </c>
    </row>
    <row r="45" spans="3:20" x14ac:dyDescent="0.25">
      <c r="C45" s="95">
        <f t="shared" si="1"/>
        <v>-7.4000000000000039</v>
      </c>
      <c r="D45" s="95">
        <f t="shared" si="5"/>
        <v>7.4000000000000038E-3</v>
      </c>
      <c r="E45" s="99">
        <f t="shared" si="6"/>
        <v>2.3068918543510712E-4</v>
      </c>
      <c r="F45" s="100">
        <f t="shared" si="7"/>
        <v>0.29133987932373012</v>
      </c>
      <c r="G45" s="99">
        <f t="shared" si="8"/>
        <v>0.231807365678875</v>
      </c>
      <c r="H45" s="100">
        <f t="shared" si="9"/>
        <v>0.9272294627155</v>
      </c>
      <c r="I45" s="98">
        <f t="shared" si="2"/>
        <v>4.4636147313577501</v>
      </c>
      <c r="J45" s="98">
        <f t="shared" si="3"/>
        <v>0.20773062159723041</v>
      </c>
      <c r="K45" s="100">
        <f t="shared" si="10"/>
        <v>1.0784816921923328</v>
      </c>
      <c r="L45" s="100">
        <f t="shared" si="0"/>
        <v>5.9282505626607425E-2</v>
      </c>
      <c r="M45" s="100">
        <f t="shared" si="11"/>
        <v>2.1403623056673298E-3</v>
      </c>
      <c r="N45" s="151">
        <f t="shared" si="12"/>
        <v>0.48851922411531945</v>
      </c>
      <c r="P45" s="97">
        <v>0.18538318385384195</v>
      </c>
      <c r="Q45" s="141">
        <f t="shared" si="4"/>
        <v>0.28801432746393918</v>
      </c>
    </row>
    <row r="46" spans="3:20" x14ac:dyDescent="0.25">
      <c r="C46" s="95">
        <f t="shared" si="1"/>
        <v>-7.6000000000000041</v>
      </c>
      <c r="D46" s="95">
        <f t="shared" si="5"/>
        <v>7.6000000000000043E-3</v>
      </c>
      <c r="E46" s="99">
        <f t="shared" si="6"/>
        <v>2.2807246113346597E-4</v>
      </c>
      <c r="F46" s="100">
        <f t="shared" si="7"/>
        <v>0.29156795178486361</v>
      </c>
      <c r="G46" s="99">
        <f t="shared" si="8"/>
        <v>0.23228544615825619</v>
      </c>
      <c r="H46" s="100">
        <f t="shared" si="9"/>
        <v>0.92914178463302477</v>
      </c>
      <c r="I46" s="98">
        <f t="shared" si="2"/>
        <v>4.4645708923165124</v>
      </c>
      <c r="J46" s="98">
        <f t="shared" si="3"/>
        <v>0.20811446543094875</v>
      </c>
      <c r="K46" s="100">
        <f t="shared" si="10"/>
        <v>1.0762620049371276</v>
      </c>
      <c r="L46" s="100">
        <f t="shared" si="0"/>
        <v>5.9038731053582351E-2</v>
      </c>
      <c r="M46" s="100">
        <f t="shared" si="11"/>
        <v>2.1276295330311056E-3</v>
      </c>
      <c r="N46" s="151">
        <f t="shared" si="12"/>
        <v>0.491670855578621</v>
      </c>
      <c r="P46" s="97">
        <v>0.18538318385384195</v>
      </c>
      <c r="Q46" s="141">
        <f t="shared" si="4"/>
        <v>0.28801432746393918</v>
      </c>
    </row>
    <row r="47" spans="3:20" x14ac:dyDescent="0.25">
      <c r="C47" s="95">
        <f t="shared" si="1"/>
        <v>-7.8000000000000043</v>
      </c>
      <c r="D47" s="95">
        <f t="shared" si="5"/>
        <v>7.8000000000000048E-3</v>
      </c>
      <c r="E47" s="99">
        <f t="shared" si="6"/>
        <v>2.2552590660622113E-4</v>
      </c>
      <c r="F47" s="100">
        <f t="shared" si="7"/>
        <v>0.29179347769146985</v>
      </c>
      <c r="G47" s="99">
        <f t="shared" si="8"/>
        <v>0.23275474663788751</v>
      </c>
      <c r="H47" s="100">
        <f t="shared" si="9"/>
        <v>0.93101898655155002</v>
      </c>
      <c r="I47" s="98">
        <f t="shared" si="2"/>
        <v>4.4655094932757748</v>
      </c>
      <c r="J47" s="98">
        <f t="shared" si="3"/>
        <v>0.20849110005330659</v>
      </c>
      <c r="K47" s="100">
        <f t="shared" si="10"/>
        <v>1.0740919513402754</v>
      </c>
      <c r="L47" s="100">
        <f t="shared" si="0"/>
        <v>5.8800892962994927E-2</v>
      </c>
      <c r="M47" s="100">
        <f t="shared" si="11"/>
        <v>2.1152303245064474E-3</v>
      </c>
      <c r="N47" s="151">
        <f t="shared" si="12"/>
        <v>0.49473947309460886</v>
      </c>
      <c r="P47" s="97">
        <v>0.18538318385384195</v>
      </c>
      <c r="Q47" s="141">
        <f t="shared" si="4"/>
        <v>0.28801432746393918</v>
      </c>
    </row>
    <row r="48" spans="3:20" s="96" customFormat="1" x14ac:dyDescent="0.25">
      <c r="C48" s="95">
        <f t="shared" si="1"/>
        <v>-8.0000000000000036</v>
      </c>
      <c r="D48" s="95">
        <f t="shared" si="5"/>
        <v>8.0000000000000036E-3</v>
      </c>
      <c r="E48" s="99">
        <f t="shared" si="6"/>
        <v>2.2304606490128949E-4</v>
      </c>
      <c r="F48" s="100">
        <f t="shared" si="7"/>
        <v>0.29201652375637116</v>
      </c>
      <c r="G48" s="99">
        <f t="shared" si="8"/>
        <v>0.23321563079337623</v>
      </c>
      <c r="H48" s="100">
        <f t="shared" si="9"/>
        <v>0.93286252317350493</v>
      </c>
      <c r="I48" s="98">
        <f t="shared" si="2"/>
        <v>4.4664312615867523</v>
      </c>
      <c r="J48" s="98">
        <f t="shared" si="3"/>
        <v>0.20886082613574009</v>
      </c>
      <c r="K48" s="100">
        <f t="shared" si="10"/>
        <v>1.0719693150477307</v>
      </c>
      <c r="L48" s="100">
        <f t="shared" si="0"/>
        <v>5.8568716228537251E-2</v>
      </c>
      <c r="M48" s="100">
        <f t="shared" si="11"/>
        <v>2.1031486844189143E-3</v>
      </c>
      <c r="N48" s="151">
        <f t="shared" si="12"/>
        <v>0.49772906705015996</v>
      </c>
      <c r="P48" s="103">
        <v>0.18538318385384195</v>
      </c>
      <c r="Q48" s="141">
        <f t="shared" si="4"/>
        <v>0.28801432746393918</v>
      </c>
      <c r="T48" s="95"/>
    </row>
    <row r="49" spans="3:20" x14ac:dyDescent="0.25">
      <c r="C49" s="95">
        <f t="shared" si="1"/>
        <v>-8.2000000000000028</v>
      </c>
      <c r="D49" s="95">
        <f t="shared" si="5"/>
        <v>8.2000000000000024E-3</v>
      </c>
      <c r="E49" s="99">
        <f t="shared" si="6"/>
        <v>2.2062973688378288E-4</v>
      </c>
      <c r="F49" s="100">
        <f t="shared" si="7"/>
        <v>0.29223715349325496</v>
      </c>
      <c r="G49" s="99">
        <f t="shared" si="8"/>
        <v>0.2336684372647177</v>
      </c>
      <c r="H49" s="100">
        <f t="shared" si="9"/>
        <v>0.9346737490588708</v>
      </c>
      <c r="I49" s="98">
        <f t="shared" si="2"/>
        <v>4.4673368745294351</v>
      </c>
      <c r="J49" s="98">
        <f t="shared" si="3"/>
        <v>0.20922392362839756</v>
      </c>
      <c r="K49" s="100">
        <f t="shared" si="10"/>
        <v>1.0698920355973478</v>
      </c>
      <c r="L49" s="100">
        <f t="shared" si="0"/>
        <v>5.8341945353447319E-2</v>
      </c>
      <c r="M49" s="100">
        <f t="shared" si="11"/>
        <v>2.0913697753226967E-3</v>
      </c>
      <c r="N49" s="151">
        <f t="shared" si="12"/>
        <v>0.50064333860072807</v>
      </c>
      <c r="P49" s="97">
        <v>0.18538318385384195</v>
      </c>
      <c r="Q49" s="141">
        <f t="shared" si="4"/>
        <v>0.28801432746393918</v>
      </c>
      <c r="T49" s="96"/>
    </row>
    <row r="50" spans="3:20" x14ac:dyDescent="0.25">
      <c r="C50" s="95">
        <f t="shared" si="1"/>
        <v>-8.4000000000000021</v>
      </c>
      <c r="D50" s="95">
        <f t="shared" si="5"/>
        <v>8.400000000000003E-3</v>
      </c>
      <c r="E50" s="99">
        <f t="shared" si="6"/>
        <v>2.1827395506453934E-4</v>
      </c>
      <c r="F50" s="100">
        <f t="shared" si="7"/>
        <v>0.29245542744831948</v>
      </c>
      <c r="G50" s="99">
        <f t="shared" si="8"/>
        <v>0.23411348209487215</v>
      </c>
      <c r="H50" s="100">
        <f t="shared" si="9"/>
        <v>0.9364539283794886</v>
      </c>
      <c r="I50" s="98">
        <f t="shared" si="2"/>
        <v>4.4682269641897445</v>
      </c>
      <c r="J50" s="98">
        <f t="shared" si="3"/>
        <v>0.20958065377713025</v>
      </c>
      <c r="K50" s="100">
        <f t="shared" si="10"/>
        <v>1.0678581932273767</v>
      </c>
      <c r="L50" s="100">
        <f t="shared" si="0"/>
        <v>5.8120342550603332E-2</v>
      </c>
      <c r="M50" s="100">
        <f t="shared" si="11"/>
        <v>2.0798798041400677E-3</v>
      </c>
      <c r="N50" s="151">
        <f t="shared" si="12"/>
        <v>0.50348572811325187</v>
      </c>
      <c r="P50" s="97">
        <v>0.18538318385384195</v>
      </c>
      <c r="Q50" s="141">
        <f t="shared" si="4"/>
        <v>0.28801432746393918</v>
      </c>
    </row>
    <row r="51" spans="3:20" x14ac:dyDescent="0.25">
      <c r="C51" s="95">
        <f t="shared" si="1"/>
        <v>-8.6000000000000014</v>
      </c>
      <c r="D51" s="95">
        <f t="shared" si="5"/>
        <v>8.6000000000000017E-3</v>
      </c>
      <c r="E51" s="99">
        <f t="shared" si="6"/>
        <v>2.1597596082801354E-4</v>
      </c>
      <c r="F51" s="100">
        <f t="shared" si="7"/>
        <v>0.29267140340914749</v>
      </c>
      <c r="G51" s="99">
        <f t="shared" si="8"/>
        <v>0.23455106085854416</v>
      </c>
      <c r="H51" s="100">
        <f t="shared" si="9"/>
        <v>0.93820424343417663</v>
      </c>
      <c r="I51" s="98">
        <f t="shared" si="2"/>
        <v>4.4691021217170883</v>
      </c>
      <c r="J51" s="98">
        <f t="shared" si="3"/>
        <v>0.20993126088461503</v>
      </c>
      <c r="K51" s="100">
        <f t="shared" si="10"/>
        <v>1.0658659955956156</v>
      </c>
      <c r="L51" s="100">
        <f t="shared" si="0"/>
        <v>5.7903686063559265E-2</v>
      </c>
      <c r="M51" s="100">
        <f t="shared" si="11"/>
        <v>2.068665922582094E-3</v>
      </c>
      <c r="N51" s="151">
        <f t="shared" si="12"/>
        <v>0.50625944004166734</v>
      </c>
      <c r="P51" s="97">
        <v>0.18538318385384195</v>
      </c>
      <c r="Q51" s="141">
        <f t="shared" si="4"/>
        <v>0.28801432746393918</v>
      </c>
    </row>
    <row r="52" spans="3:20" x14ac:dyDescent="0.25">
      <c r="C52" s="95">
        <f t="shared" si="1"/>
        <v>-8.8000000000000007</v>
      </c>
      <c r="D52" s="95">
        <f t="shared" si="5"/>
        <v>8.8000000000000005E-3</v>
      </c>
      <c r="E52" s="99">
        <f t="shared" si="6"/>
        <v>2.1373318451641879E-4</v>
      </c>
      <c r="F52" s="100">
        <f t="shared" si="7"/>
        <v>0.29288513659366389</v>
      </c>
      <c r="G52" s="99">
        <f t="shared" si="8"/>
        <v>0.23498145053010461</v>
      </c>
      <c r="H52" s="100">
        <f t="shared" si="9"/>
        <v>0.93992580212041843</v>
      </c>
      <c r="I52" s="98">
        <f t="shared" si="2"/>
        <v>4.4699629010602093</v>
      </c>
      <c r="J52" s="98">
        <f t="shared" si="3"/>
        <v>0.21027597385595345</v>
      </c>
      <c r="K52" s="100">
        <f t="shared" si="10"/>
        <v>1.0639137661122373</v>
      </c>
      <c r="L52" s="100">
        <f t="shared" si="0"/>
        <v>5.7691768691290744E-2</v>
      </c>
      <c r="M52" s="100">
        <f t="shared" si="11"/>
        <v>2.0577161396531565E-3</v>
      </c>
      <c r="N52" s="151">
        <f t="shared" si="12"/>
        <v>0.5089674647837823</v>
      </c>
      <c r="P52" s="97">
        <v>0.18538318385384195</v>
      </c>
      <c r="Q52" s="141">
        <f t="shared" si="4"/>
        <v>0.28801432746393918</v>
      </c>
    </row>
    <row r="53" spans="3:20" x14ac:dyDescent="0.25">
      <c r="C53" s="95">
        <f t="shared" si="1"/>
        <v>-9</v>
      </c>
      <c r="D53" s="95">
        <f t="shared" si="5"/>
        <v>9.0000000000000011E-3</v>
      </c>
      <c r="E53" s="99">
        <f t="shared" si="6"/>
        <v>2.1154322793063131E-4</v>
      </c>
      <c r="F53" s="100">
        <f t="shared" si="7"/>
        <v>0.29309667982159454</v>
      </c>
      <c r="G53" s="99">
        <f t="shared" si="8"/>
        <v>0.23540491113030379</v>
      </c>
      <c r="H53" s="100">
        <f t="shared" si="9"/>
        <v>0.94161964452121516</v>
      </c>
      <c r="I53" s="98">
        <f t="shared" si="2"/>
        <v>4.4708098222606072</v>
      </c>
      <c r="J53" s="98">
        <f t="shared" si="3"/>
        <v>0.2106150075614483</v>
      </c>
      <c r="K53" s="100">
        <f t="shared" si="10"/>
        <v>1.0619999336446189</v>
      </c>
      <c r="L53" s="100">
        <f t="shared" si="0"/>
        <v>5.7484396486298404E-2</v>
      </c>
      <c r="M53" s="100">
        <f t="shared" si="11"/>
        <v>2.0470192444451145E-3</v>
      </c>
      <c r="N53" s="151">
        <f t="shared" si="12"/>
        <v>0.51161259796760117</v>
      </c>
      <c r="P53" s="97">
        <v>0.18538318385384195</v>
      </c>
      <c r="Q53" s="141">
        <f t="shared" si="4"/>
        <v>0.28801432746393918</v>
      </c>
    </row>
    <row r="54" spans="3:20" x14ac:dyDescent="0.25">
      <c r="C54" s="95">
        <f t="shared" si="1"/>
        <v>-9.1999999999999993</v>
      </c>
      <c r="D54" s="95">
        <f t="shared" si="5"/>
        <v>9.1999999999999998E-3</v>
      </c>
      <c r="E54" s="99">
        <f t="shared" si="6"/>
        <v>2.0940384888902292E-4</v>
      </c>
      <c r="F54" s="100">
        <f t="shared" si="7"/>
        <v>0.29330608367048355</v>
      </c>
      <c r="G54" s="99">
        <f t="shared" si="8"/>
        <v>0.23582168718418514</v>
      </c>
      <c r="H54" s="100">
        <f t="shared" si="9"/>
        <v>0.94328674873674057</v>
      </c>
      <c r="I54" s="98">
        <f t="shared" si="2"/>
        <v>4.4716433743683703</v>
      </c>
      <c r="J54" s="98">
        <f t="shared" si="3"/>
        <v>0.21094856404329917</v>
      </c>
      <c r="K54" s="100">
        <f t="shared" si="10"/>
        <v>1.060123023395813</v>
      </c>
      <c r="L54" s="100">
        <f t="shared" si="0"/>
        <v>5.7281387601115161E-2</v>
      </c>
      <c r="M54" s="100">
        <f t="shared" si="11"/>
        <v>2.036564737744231E-3</v>
      </c>
      <c r="N54" s="151">
        <f t="shared" si="12"/>
        <v>0.51419745753598689</v>
      </c>
      <c r="P54" s="97">
        <v>0.18538318385384195</v>
      </c>
      <c r="Q54" s="141">
        <f t="shared" si="4"/>
        <v>0.28801432746393918</v>
      </c>
    </row>
    <row r="55" spans="3:20" x14ac:dyDescent="0.25">
      <c r="C55" s="95">
        <f t="shared" si="1"/>
        <v>-9.3999999999999986</v>
      </c>
      <c r="D55" s="95">
        <f t="shared" si="5"/>
        <v>9.3999999999999986E-3</v>
      </c>
      <c r="E55" s="99">
        <f t="shared" si="6"/>
        <v>2.0731294754884621E-4</v>
      </c>
      <c r="F55" s="100">
        <f t="shared" si="7"/>
        <v>0.29351339661803239</v>
      </c>
      <c r="G55" s="99">
        <f t="shared" si="8"/>
        <v>0.23623200901691721</v>
      </c>
      <c r="H55" s="100">
        <f t="shared" si="9"/>
        <v>0.94492803606766884</v>
      </c>
      <c r="I55" s="98">
        <f t="shared" si="2"/>
        <v>4.4724640180338344</v>
      </c>
      <c r="J55" s="98">
        <f t="shared" si="3"/>
        <v>0.21127683358827201</v>
      </c>
      <c r="K55" s="100">
        <f t="shared" si="10"/>
        <v>1.0582816487925513</v>
      </c>
      <c r="L55" s="100">
        <f t="shared" si="0"/>
        <v>5.7082571262542341E-2</v>
      </c>
      <c r="M55" s="100">
        <f t="shared" si="11"/>
        <v>2.026342771225782E-3</v>
      </c>
      <c r="N55" s="151">
        <f t="shared" si="12"/>
        <v>0.51672449893566696</v>
      </c>
      <c r="P55" s="97">
        <v>0.18538318385384195</v>
      </c>
      <c r="Q55" s="141">
        <f t="shared" si="4"/>
        <v>0.28801432746393918</v>
      </c>
    </row>
    <row r="56" spans="3:20" x14ac:dyDescent="0.25">
      <c r="C56" s="95">
        <f t="shared" si="1"/>
        <v>-9.5999999999999979</v>
      </c>
      <c r="D56" s="95">
        <f t="shared" si="5"/>
        <v>9.5999999999999974E-3</v>
      </c>
      <c r="E56" s="99">
        <f t="shared" si="6"/>
        <v>2.052685542451564E-4</v>
      </c>
      <c r="F56" s="100">
        <f t="shared" si="7"/>
        <v>0.29371866517227752</v>
      </c>
      <c r="G56" s="99">
        <f t="shared" si="8"/>
        <v>0.23663609390973517</v>
      </c>
      <c r="H56" s="100">
        <f t="shared" si="9"/>
        <v>0.94654437563894067</v>
      </c>
      <c r="I56" s="98">
        <f t="shared" si="2"/>
        <v>4.4732721878194699</v>
      </c>
      <c r="J56" s="98">
        <f t="shared" si="3"/>
        <v>0.21159999568466697</v>
      </c>
      <c r="K56" s="100">
        <f t="shared" si="10"/>
        <v>1.0564745042460111</v>
      </c>
      <c r="L56" s="100">
        <f t="shared" si="0"/>
        <v>5.6887786856363649E-2</v>
      </c>
      <c r="M56" s="100">
        <f t="shared" si="11"/>
        <v>2.0163440932132498E-3</v>
      </c>
      <c r="N56" s="151">
        <f t="shared" si="12"/>
        <v>0.51919602866616366</v>
      </c>
      <c r="P56" s="97">
        <v>0.18538318385384195</v>
      </c>
      <c r="Q56" s="141">
        <f t="shared" si="4"/>
        <v>0.28801432746393918</v>
      </c>
    </row>
    <row r="57" spans="3:20" x14ac:dyDescent="0.25">
      <c r="C57" s="95">
        <f t="shared" si="1"/>
        <v>-9.7999999999999972</v>
      </c>
      <c r="D57" s="95">
        <f t="shared" si="5"/>
        <v>9.7999999999999979E-3</v>
      </c>
      <c r="E57" s="99">
        <f t="shared" si="6"/>
        <v>2.0326881864264997E-4</v>
      </c>
      <c r="F57" s="100">
        <f t="shared" si="7"/>
        <v>0.29392193399092015</v>
      </c>
      <c r="G57" s="99">
        <f t="shared" si="8"/>
        <v>0.23703414713455651</v>
      </c>
      <c r="H57" s="100">
        <f t="shared" si="9"/>
        <v>0.94813658853822602</v>
      </c>
      <c r="I57" s="98">
        <f t="shared" si="2"/>
        <v>4.474068294269113</v>
      </c>
      <c r="J57" s="98">
        <f t="shared" si="3"/>
        <v>0.2119182198789199</v>
      </c>
      <c r="K57" s="100">
        <f t="shared" si="10"/>
        <v>1.0547003586706147</v>
      </c>
      <c r="L57" s="100">
        <f t="shared" si="0"/>
        <v>5.6696883108049094E-2</v>
      </c>
      <c r="M57" s="100">
        <f t="shared" si="11"/>
        <v>2.0065600001421429E-3</v>
      </c>
      <c r="N57" s="151">
        <f t="shared" si="12"/>
        <v>0.5216142164034776</v>
      </c>
      <c r="P57" s="97">
        <v>0.18538318385384195</v>
      </c>
      <c r="Q57" s="141">
        <f t="shared" si="4"/>
        <v>0.28801432746393918</v>
      </c>
    </row>
    <row r="58" spans="3:20" x14ac:dyDescent="0.25">
      <c r="C58" s="95">
        <f t="shared" si="1"/>
        <v>-9.9999999999999964</v>
      </c>
      <c r="D58" s="95">
        <f t="shared" si="5"/>
        <v>9.9999999999999967E-3</v>
      </c>
      <c r="E58" s="99">
        <f t="shared" si="6"/>
        <v>2.0131200002842858E-4</v>
      </c>
      <c r="F58" s="100">
        <f t="shared" si="7"/>
        <v>0.29412324599094858</v>
      </c>
      <c r="G58" s="99">
        <f t="shared" si="8"/>
        <v>0.23742636288289948</v>
      </c>
      <c r="H58" s="100">
        <f t="shared" si="9"/>
        <v>0.94970545153159791</v>
      </c>
      <c r="I58" s="98">
        <f t="shared" si="2"/>
        <v>4.4748527257657988</v>
      </c>
      <c r="J58" s="98">
        <f t="shared" si="3"/>
        <v>0.21223166654475117</v>
      </c>
      <c r="K58" s="100">
        <f t="shared" si="10"/>
        <v>1.0529580496640212</v>
      </c>
      <c r="L58" s="100">
        <f t="shared" si="0"/>
        <v>5.6509717347209949E-2</v>
      </c>
      <c r="M58" s="100">
        <f t="shared" si="11"/>
        <v>1.9969822930015362E-3</v>
      </c>
      <c r="N58" s="151">
        <f t="shared" si="12"/>
        <v>0.52398110588013358</v>
      </c>
      <c r="P58" s="97">
        <v>0.18538318385384195</v>
      </c>
      <c r="Q58" s="141">
        <f t="shared" si="4"/>
        <v>0.28801432746393918</v>
      </c>
    </row>
    <row r="59" spans="3:20" x14ac:dyDescent="0.25">
      <c r="C59" s="95">
        <f t="shared" si="1"/>
        <v>-10.199999999999996</v>
      </c>
      <c r="D59" s="95">
        <f t="shared" si="5"/>
        <v>1.0199999999999996E-2</v>
      </c>
      <c r="E59" s="99">
        <f t="shared" si="6"/>
        <v>1.9939645860030727E-4</v>
      </c>
      <c r="F59" s="100">
        <f t="shared" si="7"/>
        <v>0.29432264244954887</v>
      </c>
      <c r="G59" s="99">
        <f t="shared" si="8"/>
        <v>0.23781292510233892</v>
      </c>
      <c r="H59" s="100">
        <f t="shared" si="9"/>
        <v>0.95125170040935569</v>
      </c>
      <c r="I59" s="98">
        <f t="shared" si="2"/>
        <v>4.4756258502046782</v>
      </c>
      <c r="J59" s="98">
        <f t="shared" si="3"/>
        <v>0.21254048757579977</v>
      </c>
      <c r="K59" s="100">
        <f t="shared" si="10"/>
        <v>1.0512464782661268</v>
      </c>
      <c r="L59" s="100">
        <f t="shared" si="0"/>
        <v>5.6326154845409489E-2</v>
      </c>
      <c r="M59" s="100">
        <f t="shared" si="11"/>
        <v>1.9876032381355635E-3</v>
      </c>
      <c r="N59" s="151">
        <f t="shared" si="12"/>
        <v>0.52629862467592581</v>
      </c>
      <c r="P59" s="97">
        <v>0.18538318385384195</v>
      </c>
      <c r="Q59" s="141">
        <f t="shared" si="4"/>
        <v>0.28801432746393918</v>
      </c>
    </row>
    <row r="60" spans="3:20" x14ac:dyDescent="0.25">
      <c r="C60" s="95">
        <f t="shared" si="1"/>
        <v>-10.399999999999995</v>
      </c>
      <c r="D60" s="95">
        <f t="shared" si="5"/>
        <v>1.0399999999999996E-2</v>
      </c>
      <c r="E60" s="99">
        <f t="shared" si="6"/>
        <v>1.9752064762711271E-4</v>
      </c>
      <c r="F60" s="100">
        <f t="shared" si="7"/>
        <v>0.29452016309717599</v>
      </c>
      <c r="G60" s="99">
        <f t="shared" si="8"/>
        <v>0.23819400825176651</v>
      </c>
      <c r="H60" s="100">
        <f t="shared" si="9"/>
        <v>0.95277603300706604</v>
      </c>
      <c r="I60" s="98">
        <f t="shared" si="2"/>
        <v>4.4763880165035328</v>
      </c>
      <c r="J60" s="98">
        <f t="shared" si="3"/>
        <v>0.21284482701105767</v>
      </c>
      <c r="K60" s="100">
        <f t="shared" si="10"/>
        <v>1.049564604226966</v>
      </c>
      <c r="L60" s="100">
        <f t="shared" si="0"/>
        <v>5.6146068218456052E-2</v>
      </c>
      <c r="M60" s="100">
        <f t="shared" si="11"/>
        <v>1.978415531877332E-3</v>
      </c>
      <c r="N60" s="151">
        <f t="shared" si="12"/>
        <v>0.52856859305116743</v>
      </c>
      <c r="P60" s="97">
        <v>0.18538318385384195</v>
      </c>
      <c r="Q60" s="141">
        <f t="shared" si="4"/>
        <v>0.28801432746393918</v>
      </c>
    </row>
    <row r="61" spans="3:20" x14ac:dyDescent="0.25">
      <c r="C61" s="95">
        <f t="shared" si="1"/>
        <v>-10.599999999999994</v>
      </c>
      <c r="D61" s="95">
        <f t="shared" si="5"/>
        <v>1.0599999999999995E-2</v>
      </c>
      <c r="E61" s="99">
        <f t="shared" si="6"/>
        <v>1.956831063754664E-4</v>
      </c>
      <c r="F61" s="100">
        <f t="shared" si="7"/>
        <v>0.29471584620355146</v>
      </c>
      <c r="G61" s="99">
        <f t="shared" si="8"/>
        <v>0.2385697779850954</v>
      </c>
      <c r="H61" s="100">
        <f t="shared" si="9"/>
        <v>0.95427911194038162</v>
      </c>
      <c r="I61" s="98">
        <f t="shared" si="2"/>
        <v>4.477139555970191</v>
      </c>
      <c r="J61" s="98">
        <f t="shared" si="3"/>
        <v>0.21314482160107481</v>
      </c>
      <c r="K61" s="100">
        <f t="shared" si="10"/>
        <v>1.0479114417234303</v>
      </c>
      <c r="L61" s="100">
        <f t="shared" si="0"/>
        <v>5.5969336885569737E-2</v>
      </c>
      <c r="M61" s="100">
        <f t="shared" si="11"/>
        <v>1.9694122685627387E-3</v>
      </c>
      <c r="N61" s="151">
        <f t="shared" si="12"/>
        <v>0.53079273193550602</v>
      </c>
      <c r="P61" s="97">
        <v>0.18538318385384195</v>
      </c>
      <c r="Q61" s="141">
        <f t="shared" si="4"/>
        <v>0.28801432746393918</v>
      </c>
    </row>
    <row r="62" spans="3:20" x14ac:dyDescent="0.25">
      <c r="C62" s="95">
        <f t="shared" si="1"/>
        <v>-10.799999999999994</v>
      </c>
      <c r="D62" s="95">
        <f t="shared" si="5"/>
        <v>1.0799999999999994E-2</v>
      </c>
      <c r="E62" s="99">
        <f t="shared" si="6"/>
        <v>1.9388245371254774E-4</v>
      </c>
      <c r="F62" s="100">
        <f t="shared" si="7"/>
        <v>0.294909728657264</v>
      </c>
      <c r="G62" s="99">
        <f t="shared" si="8"/>
        <v>0.23894039177169427</v>
      </c>
      <c r="H62" s="100">
        <f t="shared" si="9"/>
        <v>0.95576156708677706</v>
      </c>
      <c r="I62" s="98">
        <f t="shared" si="2"/>
        <v>4.4778807835433883</v>
      </c>
      <c r="J62" s="98">
        <f t="shared" si="3"/>
        <v>0.21344060132178735</v>
      </c>
      <c r="K62" s="100">
        <f t="shared" si="10"/>
        <v>1.0462860554730868</v>
      </c>
      <c r="L62" s="100">
        <f t="shared" si="0"/>
        <v>5.5795846578870094E-2</v>
      </c>
      <c r="M62" s="100">
        <f t="shared" si="11"/>
        <v>1.9605869115343882E-3</v>
      </c>
      <c r="N62" s="151">
        <f t="shared" si="12"/>
        <v>0.53297267016969985</v>
      </c>
      <c r="P62" s="97">
        <v>0.18538318385384195</v>
      </c>
      <c r="Q62" s="141">
        <f t="shared" si="4"/>
        <v>0.28801432746393918</v>
      </c>
    </row>
    <row r="63" spans="3:20" x14ac:dyDescent="0.25">
      <c r="C63" s="95">
        <f t="shared" si="1"/>
        <v>-10.999999999999993</v>
      </c>
      <c r="D63" s="95">
        <f t="shared" si="5"/>
        <v>1.0999999999999992E-2</v>
      </c>
      <c r="E63" s="99">
        <f t="shared" si="6"/>
        <v>1.9211738230687765E-4</v>
      </c>
      <c r="F63" s="100">
        <f t="shared" si="7"/>
        <v>0.2951018460395709</v>
      </c>
      <c r="G63" s="99">
        <f t="shared" si="8"/>
        <v>0.2393059994607008</v>
      </c>
      <c r="H63" s="100">
        <f t="shared" si="9"/>
        <v>0.95722399784280321</v>
      </c>
      <c r="I63" s="98">
        <f t="shared" si="2"/>
        <v>4.4786119989214015</v>
      </c>
      <c r="J63" s="98">
        <f t="shared" si="3"/>
        <v>0.21373228984188283</v>
      </c>
      <c r="K63" s="100">
        <f t="shared" si="10"/>
        <v>1.0446875572004011</v>
      </c>
      <c r="L63" s="100">
        <f t="shared" si="0"/>
        <v>5.5625488897519941E-2</v>
      </c>
      <c r="M63" s="100">
        <f t="shared" si="11"/>
        <v>1.9519332667985436E-3</v>
      </c>
      <c r="N63" s="151">
        <f t="shared" si="12"/>
        <v>0.53510995108457515</v>
      </c>
      <c r="P63" s="97">
        <v>0.18538318385384195</v>
      </c>
      <c r="Q63" s="141">
        <f t="shared" si="4"/>
        <v>0.28801432746393918</v>
      </c>
    </row>
    <row r="64" spans="3:20" x14ac:dyDescent="0.25">
      <c r="C64" s="95">
        <f t="shared" si="1"/>
        <v>-11.199999999999992</v>
      </c>
      <c r="D64" s="95">
        <f t="shared" si="5"/>
        <v>1.1199999999999993E-2</v>
      </c>
      <c r="E64" s="99">
        <f t="shared" si="6"/>
        <v>1.9038665335970875E-4</v>
      </c>
      <c r="F64" s="100">
        <f t="shared" si="7"/>
        <v>0.29529223269293059</v>
      </c>
      <c r="G64" s="99">
        <f t="shared" si="8"/>
        <v>0.23966674379541064</v>
      </c>
      <c r="H64" s="100">
        <f t="shared" si="9"/>
        <v>0.95866697518164257</v>
      </c>
      <c r="I64" s="98">
        <f t="shared" si="2"/>
        <v>4.4793334875908215</v>
      </c>
      <c r="J64" s="98">
        <f t="shared" si="3"/>
        <v>0.21402000494882889</v>
      </c>
      <c r="K64" s="100">
        <f t="shared" si="10"/>
        <v>1.0431151024165883</v>
      </c>
      <c r="L64" s="100">
        <f t="shared" si="0"/>
        <v>5.5458160901609051E-2</v>
      </c>
      <c r="M64" s="100">
        <f t="shared" si="11"/>
        <v>1.9434454590425607E-3</v>
      </c>
      <c r="N64" s="151">
        <f t="shared" si="12"/>
        <v>0.5372060384902595</v>
      </c>
      <c r="P64" s="97">
        <v>0.18538318385384195</v>
      </c>
      <c r="Q64" s="141">
        <f t="shared" si="4"/>
        <v>0.28801432746393918</v>
      </c>
    </row>
    <row r="65" spans="3:17" x14ac:dyDescent="0.25">
      <c r="C65" s="95">
        <f t="shared" si="1"/>
        <v>-11.399999999999991</v>
      </c>
      <c r="D65" s="95">
        <f t="shared" si="5"/>
        <v>1.1399999999999992E-2</v>
      </c>
      <c r="E65" s="99">
        <f t="shared" si="6"/>
        <v>1.8868909180851215E-4</v>
      </c>
      <c r="F65" s="100">
        <f t="shared" si="7"/>
        <v>0.29548092178473911</v>
      </c>
      <c r="G65" s="99">
        <f t="shared" si="8"/>
        <v>0.24002276088313007</v>
      </c>
      <c r="H65" s="100">
        <f t="shared" si="9"/>
        <v>0.96009104353252028</v>
      </c>
      <c r="I65" s="98">
        <f t="shared" si="2"/>
        <v>4.48004552176626</v>
      </c>
      <c r="J65" s="98">
        <f t="shared" si="3"/>
        <v>0.21430385893802345</v>
      </c>
      <c r="K65" s="100">
        <f t="shared" si="10"/>
        <v>1.0415678874793377</v>
      </c>
      <c r="L65" s="100">
        <f t="shared" si="0"/>
        <v>5.5293764741496956E-2</v>
      </c>
      <c r="M65" s="100">
        <f t="shared" si="11"/>
        <v>1.9351179097580277E-3</v>
      </c>
      <c r="N65" s="151">
        <f t="shared" si="12"/>
        <v>0.53926232213935621</v>
      </c>
      <c r="P65" s="97">
        <v>0.18538318385384195</v>
      </c>
      <c r="Q65" s="141">
        <f t="shared" si="4"/>
        <v>0.28801432746393918</v>
      </c>
    </row>
    <row r="66" spans="3:17" x14ac:dyDescent="0.25">
      <c r="C66" s="95">
        <f t="shared" si="1"/>
        <v>-11.599999999999991</v>
      </c>
      <c r="D66" s="95">
        <f t="shared" si="5"/>
        <v>1.1599999999999991E-2</v>
      </c>
      <c r="E66" s="99">
        <f t="shared" si="6"/>
        <v>1.8702358195160553E-4</v>
      </c>
      <c r="F66" s="100">
        <f t="shared" si="7"/>
        <v>0.29566794536669072</v>
      </c>
      <c r="G66" s="99">
        <f t="shared" si="8"/>
        <v>0.24037418062519378</v>
      </c>
      <c r="H66" s="100">
        <f t="shared" si="9"/>
        <v>0.96149672250077511</v>
      </c>
      <c r="I66" s="98">
        <f t="shared" si="2"/>
        <v>4.480748361250388</v>
      </c>
      <c r="J66" s="98">
        <f t="shared" si="3"/>
        <v>0.21458395896895713</v>
      </c>
      <c r="K66" s="100">
        <f t="shared" si="10"/>
        <v>1.0400451469029255</v>
      </c>
      <c r="L66" s="100">
        <f t="shared" si="0"/>
        <v>5.5132207318875019E-2</v>
      </c>
      <c r="M66" s="100">
        <f t="shared" si="11"/>
        <v>1.9269453172470388E-3</v>
      </c>
      <c r="N66" s="151">
        <f t="shared" si="12"/>
        <v>0.54128012271966486</v>
      </c>
      <c r="P66" s="97">
        <v>0.18538318385384195</v>
      </c>
      <c r="Q66" s="141">
        <f t="shared" si="4"/>
        <v>0.28801432746393918</v>
      </c>
    </row>
    <row r="67" spans="3:17" x14ac:dyDescent="0.25">
      <c r="C67" s="95">
        <f t="shared" si="1"/>
        <v>-11.79999999999999</v>
      </c>
      <c r="D67" s="95">
        <f t="shared" si="5"/>
        <v>1.1799999999999991E-2</v>
      </c>
      <c r="E67" s="99">
        <f t="shared" si="6"/>
        <v>1.8538906344940775E-4</v>
      </c>
      <c r="F67" s="100">
        <f t="shared" si="7"/>
        <v>0.29585333443014011</v>
      </c>
      <c r="G67" s="99">
        <f t="shared" si="8"/>
        <v>0.24072112711126509</v>
      </c>
      <c r="H67" s="100">
        <f t="shared" si="9"/>
        <v>0.96288450844506035</v>
      </c>
      <c r="I67" s="98">
        <f t="shared" si="2"/>
        <v>4.4814422542225305</v>
      </c>
      <c r="J67" s="98">
        <f t="shared" si="3"/>
        <v>0.21486040739179574</v>
      </c>
      <c r="K67" s="100">
        <f t="shared" si="10"/>
        <v>1.0385461508928797</v>
      </c>
      <c r="L67" s="100">
        <f t="shared" si="0"/>
        <v>5.4973399976269932E-2</v>
      </c>
      <c r="M67" s="100">
        <f t="shared" si="11"/>
        <v>1.9189226383165084E-3</v>
      </c>
      <c r="N67" s="151">
        <f t="shared" si="12"/>
        <v>0.54326069642520114</v>
      </c>
      <c r="P67" s="97">
        <v>0.18538318385384195</v>
      </c>
      <c r="Q67" s="141">
        <f t="shared" si="4"/>
        <v>0.28801432746393918</v>
      </c>
    </row>
    <row r="68" spans="3:17" x14ac:dyDescent="0.25">
      <c r="C68" s="95">
        <f t="shared" si="1"/>
        <v>-11.999999999999989</v>
      </c>
      <c r="D68" s="95">
        <f t="shared" si="5"/>
        <v>1.199999999999999E-2</v>
      </c>
      <c r="E68" s="99">
        <f t="shared" si="6"/>
        <v>1.8378452766330168E-4</v>
      </c>
      <c r="F68" s="100">
        <f t="shared" si="7"/>
        <v>0.29603711895780344</v>
      </c>
      <c r="G68" s="99">
        <f t="shared" si="8"/>
        <v>0.2410637189815335</v>
      </c>
      <c r="H68" s="100">
        <f t="shared" si="9"/>
        <v>0.96425487592613401</v>
      </c>
      <c r="I68" s="98">
        <f t="shared" si="2"/>
        <v>4.4821274379630669</v>
      </c>
      <c r="J68" s="98">
        <f t="shared" si="3"/>
        <v>0.21513330204737466</v>
      </c>
      <c r="K68" s="100">
        <f t="shared" si="10"/>
        <v>1.0370702030824932</v>
      </c>
      <c r="L68" s="100">
        <f t="shared" si="0"/>
        <v>5.4817258212108241E-2</v>
      </c>
      <c r="M68" s="100">
        <f t="shared" si="11"/>
        <v>1.9110450714891025E-3</v>
      </c>
      <c r="N68" s="151">
        <f t="shared" si="12"/>
        <v>0.54520523914834762</v>
      </c>
      <c r="P68" s="97">
        <v>0.18538318385384195</v>
      </c>
      <c r="Q68" s="141">
        <f t="shared" si="4"/>
        <v>0.28801432746393918</v>
      </c>
    </row>
    <row r="69" spans="3:17" x14ac:dyDescent="0.25">
      <c r="C69" s="95">
        <f t="shared" si="1"/>
        <v>-12.199999999999989</v>
      </c>
      <c r="D69" s="95">
        <f t="shared" si="5"/>
        <v>1.2199999999999989E-2</v>
      </c>
      <c r="E69" s="99">
        <f t="shared" si="6"/>
        <v>1.8220901429782051E-4</v>
      </c>
      <c r="F69" s="100">
        <f t="shared" si="7"/>
        <v>0.29621932797210127</v>
      </c>
      <c r="G69" s="99">
        <f t="shared" si="8"/>
        <v>0.24140206975999301</v>
      </c>
      <c r="H69" s="100">
        <f t="shared" si="9"/>
        <v>0.96560827903997204</v>
      </c>
      <c r="I69" s="98">
        <f t="shared" si="2"/>
        <v>4.4828041395199865</v>
      </c>
      <c r="J69" s="98">
        <f t="shared" si="3"/>
        <v>0.2154027365432406</v>
      </c>
      <c r="K69" s="100">
        <f t="shared" si="10"/>
        <v>1.0356166384511749</v>
      </c>
      <c r="L69" s="100">
        <f t="shared" si="0"/>
        <v>5.4663701418802828E-2</v>
      </c>
      <c r="M69" s="100">
        <f t="shared" si="11"/>
        <v>1.90330804157969E-3</v>
      </c>
      <c r="N69" s="151">
        <f t="shared" si="12"/>
        <v>0.54711489033088545</v>
      </c>
      <c r="P69" s="97">
        <v>0.18538318385384195</v>
      </c>
      <c r="Q69" s="141">
        <f t="shared" si="4"/>
        <v>0.28801432746393918</v>
      </c>
    </row>
    <row r="70" spans="3:17" x14ac:dyDescent="0.25">
      <c r="C70" s="95">
        <f t="shared" si="1"/>
        <v>-12.399999999999988</v>
      </c>
      <c r="D70" s="95">
        <f t="shared" si="5"/>
        <v>1.2399999999999987E-2</v>
      </c>
      <c r="E70" s="99">
        <f t="shared" si="6"/>
        <v>1.8066160831593802E-4</v>
      </c>
      <c r="F70" s="100">
        <f t="shared" si="7"/>
        <v>0.29639998958041719</v>
      </c>
      <c r="G70" s="99">
        <f t="shared" si="8"/>
        <v>0.24173628816161435</v>
      </c>
      <c r="H70" s="100">
        <f t="shared" si="9"/>
        <v>0.96694515264645742</v>
      </c>
      <c r="I70" s="98">
        <f t="shared" si="2"/>
        <v>4.483472576323229</v>
      </c>
      <c r="J70" s="98">
        <f t="shared" si="3"/>
        <v>0.21566880050807005</v>
      </c>
      <c r="K70" s="100">
        <f t="shared" si="10"/>
        <v>1.0341848214069578</v>
      </c>
      <c r="L70" s="100">
        <f t="shared" si="0"/>
        <v>5.4512652641617788E-2</v>
      </c>
      <c r="M70" s="100">
        <f t="shared" si="11"/>
        <v>1.8957071855037974E-3</v>
      </c>
      <c r="N70" s="151">
        <f t="shared" si="12"/>
        <v>0.54899073650727193</v>
      </c>
      <c r="P70" s="97">
        <v>0.18538318385384195</v>
      </c>
      <c r="Q70" s="141">
        <f t="shared" si="4"/>
        <v>0.28801432746393918</v>
      </c>
    </row>
    <row r="71" spans="3:17" x14ac:dyDescent="0.25">
      <c r="C71" s="95">
        <f t="shared" si="1"/>
        <v>-12.599999999999987</v>
      </c>
      <c r="D71" s="95">
        <f t="shared" si="5"/>
        <v>1.2599999999999988E-2</v>
      </c>
      <c r="E71" s="99">
        <f t="shared" si="6"/>
        <v>1.7914143710075949E-4</v>
      </c>
      <c r="F71" s="100">
        <f t="shared" si="7"/>
        <v>0.29657913101751793</v>
      </c>
      <c r="G71" s="99">
        <f t="shared" si="8"/>
        <v>0.24206647837590015</v>
      </c>
      <c r="H71" s="100">
        <f t="shared" si="9"/>
        <v>0.96826591350360058</v>
      </c>
      <c r="I71" s="98">
        <f t="shared" si="2"/>
        <v>4.4841329567518002</v>
      </c>
      <c r="J71" s="98">
        <f t="shared" si="3"/>
        <v>0.21593157982652447</v>
      </c>
      <c r="K71" s="100">
        <f t="shared" si="10"/>
        <v>1.032774144017496</v>
      </c>
      <c r="L71" s="100">
        <f t="shared" si="0"/>
        <v>5.4364038356323731E-2</v>
      </c>
      <c r="M71" s="100">
        <f t="shared" si="11"/>
        <v>1.8882383391998108E-3</v>
      </c>
      <c r="N71" s="151">
        <f t="shared" si="12"/>
        <v>0.55083381456970737</v>
      </c>
      <c r="P71" s="97">
        <v>0.18538318385384195</v>
      </c>
      <c r="Q71" s="141">
        <f t="shared" si="4"/>
        <v>0.28801432746393918</v>
      </c>
    </row>
    <row r="72" spans="3:17" x14ac:dyDescent="0.25">
      <c r="C72" s="95">
        <f t="shared" si="1"/>
        <v>-12.799999999999986</v>
      </c>
      <c r="D72" s="95">
        <f t="shared" si="5"/>
        <v>1.2799999999999987E-2</v>
      </c>
      <c r="E72" s="99">
        <f t="shared" si="6"/>
        <v>1.7764766783996217E-4</v>
      </c>
      <c r="F72" s="100">
        <f t="shared" si="7"/>
        <v>0.29675677868535788</v>
      </c>
      <c r="G72" s="99">
        <f t="shared" si="8"/>
        <v>0.24239274032903416</v>
      </c>
      <c r="H72" s="100">
        <f t="shared" si="9"/>
        <v>0.96957096131613663</v>
      </c>
      <c r="I72" s="98">
        <f t="shared" si="2"/>
        <v>4.4847854806580685</v>
      </c>
      <c r="J72" s="98">
        <f t="shared" si="3"/>
        <v>0.21619115685637388</v>
      </c>
      <c r="K72" s="100">
        <f t="shared" si="10"/>
        <v>1.0313840243756451</v>
      </c>
      <c r="L72" s="100">
        <f t="shared" ref="L72:L135" si="13">K72^2/(2*9.81)</f>
        <v>5.4217788263878769E-2</v>
      </c>
      <c r="M72" s="100">
        <f t="shared" si="11"/>
        <v>1.8808975255599227E-3</v>
      </c>
      <c r="N72" s="151">
        <f t="shared" si="12"/>
        <v>0.55264511478123279</v>
      </c>
      <c r="P72" s="97">
        <v>0.18538318385384195</v>
      </c>
      <c r="Q72" s="141">
        <f t="shared" si="4"/>
        <v>0.28801432746393918</v>
      </c>
    </row>
    <row r="73" spans="3:17" x14ac:dyDescent="0.25">
      <c r="C73" s="95">
        <f t="shared" ref="C73:C136" si="14">C72+$B$16</f>
        <v>-12.999999999999986</v>
      </c>
      <c r="D73" s="95">
        <f t="shared" si="5"/>
        <v>1.2999999999999986E-2</v>
      </c>
      <c r="E73" s="99">
        <f t="shared" si="6"/>
        <v>1.7617950511198454E-4</v>
      </c>
      <c r="F73" s="100">
        <f t="shared" si="7"/>
        <v>0.29693295819046989</v>
      </c>
      <c r="G73" s="99">
        <f t="shared" si="8"/>
        <v>0.24271516992659112</v>
      </c>
      <c r="H73" s="100">
        <f t="shared" si="9"/>
        <v>0.97086067970636447</v>
      </c>
      <c r="I73" s="98">
        <f t="shared" ref="I73:I136" si="15">$B$7+2*G73</f>
        <v>4.4854303398531821</v>
      </c>
      <c r="J73" s="98">
        <f t="shared" ref="J73:J136" si="16">H73/I73</f>
        <v>0.21644761062951717</v>
      </c>
      <c r="K73" s="100">
        <f t="shared" si="10"/>
        <v>1.0300139050872352</v>
      </c>
      <c r="L73" s="100">
        <f t="shared" si="13"/>
        <v>5.4073835100563503E-2</v>
      </c>
      <c r="M73" s="100">
        <f t="shared" si="11"/>
        <v>1.873680943276352E-3</v>
      </c>
      <c r="N73" s="151">
        <f t="shared" si="12"/>
        <v>0.55442558356020299</v>
      </c>
      <c r="P73" s="97">
        <v>0.18538318385384195</v>
      </c>
      <c r="Q73" s="141">
        <f t="shared" ref="Q73:Q136" si="17">Q72</f>
        <v>0.28801432746393918</v>
      </c>
    </row>
    <row r="74" spans="3:17" x14ac:dyDescent="0.25">
      <c r="C74" s="95">
        <f t="shared" si="14"/>
        <v>-13.199999999999985</v>
      </c>
      <c r="D74" s="95">
        <f t="shared" ref="D74:D137" si="18">-$B$11*C74</f>
        <v>1.3199999999999986E-2</v>
      </c>
      <c r="E74" s="99">
        <f t="shared" ref="E74:E137" si="19">($B$11-M73)*$B$16</f>
        <v>1.747361886552704E-4</v>
      </c>
      <c r="F74" s="100">
        <f t="shared" ref="F74:F137" si="20">F73+E74</f>
        <v>0.29710769437912515</v>
      </c>
      <c r="G74" s="99">
        <f t="shared" ref="G74:G137" si="21">F74-L73</f>
        <v>0.24303385927856164</v>
      </c>
      <c r="H74" s="100">
        <f t="shared" ref="H74:H137" si="22">$B$7*G74</f>
        <v>0.97213543711424655</v>
      </c>
      <c r="I74" s="98">
        <f t="shared" si="15"/>
        <v>4.4860677185571234</v>
      </c>
      <c r="J74" s="98">
        <f t="shared" si="16"/>
        <v>0.21670101703835165</v>
      </c>
      <c r="K74" s="100">
        <f t="shared" ref="K74:K137" si="23">$B$10/H74</f>
        <v>1.0286632518699952</v>
      </c>
      <c r="L74" s="100">
        <f t="shared" si="13"/>
        <v>5.3932114462168869E-2</v>
      </c>
      <c r="M74" s="100">
        <f t="shared" ref="M74:M137" si="24">$B$13*L74/(4*J74)</f>
        <v>1.8665849565195161E-3</v>
      </c>
      <c r="N74" s="151">
        <f t="shared" ref="N74:N137" si="25">1-$B$10^2/($B$7^2*G74^3*9.81)</f>
        <v>0.55617612605696476</v>
      </c>
      <c r="P74" s="97">
        <v>0.18538318385384195</v>
      </c>
      <c r="Q74" s="141">
        <f t="shared" si="17"/>
        <v>0.28801432746393918</v>
      </c>
    </row>
    <row r="75" spans="3:17" x14ac:dyDescent="0.25">
      <c r="C75" s="95">
        <f t="shared" si="14"/>
        <v>-13.399999999999984</v>
      </c>
      <c r="D75" s="95">
        <f t="shared" si="18"/>
        <v>1.3399999999999985E-2</v>
      </c>
      <c r="E75" s="99">
        <f t="shared" si="19"/>
        <v>1.7331699130390321E-4</v>
      </c>
      <c r="F75" s="100">
        <f t="shared" si="20"/>
        <v>0.29728101137042906</v>
      </c>
      <c r="G75" s="99">
        <f t="shared" si="21"/>
        <v>0.2433488969082602</v>
      </c>
      <c r="H75" s="100">
        <f t="shared" si="22"/>
        <v>0.97339558763304079</v>
      </c>
      <c r="I75" s="98">
        <f t="shared" si="15"/>
        <v>4.4866977938165205</v>
      </c>
      <c r="J75" s="98">
        <f t="shared" si="16"/>
        <v>0.21695144900879121</v>
      </c>
      <c r="K75" s="100">
        <f t="shared" si="23"/>
        <v>1.0273315522537469</v>
      </c>
      <c r="L75" s="100">
        <f t="shared" si="13"/>
        <v>5.3792564640983337E-2</v>
      </c>
      <c r="M75" s="100">
        <f t="shared" si="24"/>
        <v>1.8596060853736305E-3</v>
      </c>
      <c r="N75" s="151">
        <f t="shared" si="25"/>
        <v>0.55789760854134851</v>
      </c>
      <c r="P75" s="97">
        <v>0.18538318385384195</v>
      </c>
      <c r="Q75" s="141">
        <f t="shared" si="17"/>
        <v>0.28801432746393918</v>
      </c>
    </row>
    <row r="76" spans="3:17" x14ac:dyDescent="0.25">
      <c r="C76" s="95">
        <f t="shared" si="14"/>
        <v>-13.599999999999984</v>
      </c>
      <c r="D76" s="95">
        <f t="shared" si="18"/>
        <v>1.3599999999999984E-2</v>
      </c>
      <c r="E76" s="99">
        <f t="shared" si="19"/>
        <v>1.719212170747261E-4</v>
      </c>
      <c r="F76" s="100">
        <f t="shared" si="20"/>
        <v>0.29745293258750377</v>
      </c>
      <c r="G76" s="99">
        <f t="shared" si="21"/>
        <v>0.24366036794652043</v>
      </c>
      <c r="H76" s="100">
        <f t="shared" si="22"/>
        <v>0.97464147178608174</v>
      </c>
      <c r="I76" s="98">
        <f t="shared" si="15"/>
        <v>4.4873207358930411</v>
      </c>
      <c r="J76" s="98">
        <f t="shared" si="16"/>
        <v>0.21719897666109533</v>
      </c>
      <c r="K76" s="100">
        <f t="shared" si="23"/>
        <v>1.0260183143730253</v>
      </c>
      <c r="L76" s="100">
        <f t="shared" si="13"/>
        <v>5.3655126474457908E-2</v>
      </c>
      <c r="M76" s="100">
        <f t="shared" si="24"/>
        <v>1.8527409969630606E-3</v>
      </c>
      <c r="N76" s="151">
        <f t="shared" si="25"/>
        <v>0.55959086061764185</v>
      </c>
      <c r="P76" s="97">
        <v>0.18538318385384195</v>
      </c>
      <c r="Q76" s="141">
        <f t="shared" si="17"/>
        <v>0.28801432746393918</v>
      </c>
    </row>
    <row r="77" spans="3:17" x14ac:dyDescent="0.25">
      <c r="C77" s="95">
        <f t="shared" si="14"/>
        <v>-13.799999999999983</v>
      </c>
      <c r="D77" s="95">
        <f t="shared" si="18"/>
        <v>1.3799999999999982E-2</v>
      </c>
      <c r="E77" s="99">
        <f t="shared" si="19"/>
        <v>1.7054819939261212E-4</v>
      </c>
      <c r="F77" s="100">
        <f t="shared" si="20"/>
        <v>0.29762348078689638</v>
      </c>
      <c r="G77" s="99">
        <f t="shared" si="21"/>
        <v>0.24396835431243846</v>
      </c>
      <c r="H77" s="100">
        <f t="shared" si="22"/>
        <v>0.97587341724975385</v>
      </c>
      <c r="I77" s="98">
        <f t="shared" si="15"/>
        <v>4.4879367086248774</v>
      </c>
      <c r="J77" s="98">
        <f t="shared" si="16"/>
        <v>0.21744366745955415</v>
      </c>
      <c r="K77" s="100">
        <f t="shared" si="23"/>
        <v>1.0247230658441755</v>
      </c>
      <c r="L77" s="100">
        <f t="shared" si="13"/>
        <v>5.3519743204540587E-2</v>
      </c>
      <c r="M77" s="100">
        <f t="shared" si="24"/>
        <v>1.8459864972095216E-3</v>
      </c>
      <c r="N77" s="151">
        <f t="shared" si="25"/>
        <v>0.56125667728200157</v>
      </c>
      <c r="P77" s="97">
        <v>0.18538318385384195</v>
      </c>
      <c r="Q77" s="141">
        <f t="shared" si="17"/>
        <v>0.28801432746393918</v>
      </c>
    </row>
    <row r="78" spans="3:17" x14ac:dyDescent="0.25">
      <c r="C78" s="95">
        <f t="shared" si="14"/>
        <v>-13.999999999999982</v>
      </c>
      <c r="D78" s="95">
        <f t="shared" si="18"/>
        <v>1.3999999999999983E-2</v>
      </c>
      <c r="E78" s="99">
        <f t="shared" si="19"/>
        <v>1.6919729944190432E-4</v>
      </c>
      <c r="F78" s="100">
        <f t="shared" si="20"/>
        <v>0.2977926780863383</v>
      </c>
      <c r="G78" s="99">
        <f t="shared" si="21"/>
        <v>0.24427293488179772</v>
      </c>
      <c r="H78" s="100">
        <f t="shared" si="22"/>
        <v>0.97709173952719086</v>
      </c>
      <c r="I78" s="98">
        <f t="shared" si="15"/>
        <v>4.4885458697635956</v>
      </c>
      <c r="J78" s="98">
        <f t="shared" si="16"/>
        <v>0.21768558635196764</v>
      </c>
      <c r="K78" s="100">
        <f t="shared" si="23"/>
        <v>1.0234453527197911</v>
      </c>
      <c r="L78" s="100">
        <f t="shared" si="13"/>
        <v>5.3386360346775616E-2</v>
      </c>
      <c r="M78" s="100">
        <f t="shared" si="24"/>
        <v>1.8393395231663574E-3</v>
      </c>
      <c r="N78" s="151">
        <f t="shared" si="25"/>
        <v>0.56289582083574707</v>
      </c>
      <c r="P78" s="97">
        <v>0.18538318385384195</v>
      </c>
      <c r="Q78" s="141">
        <f t="shared" si="17"/>
        <v>0.28801432746393918</v>
      </c>
    </row>
    <row r="79" spans="3:17" x14ac:dyDescent="0.25">
      <c r="C79" s="95">
        <f t="shared" si="14"/>
        <v>-14.199999999999982</v>
      </c>
      <c r="D79" s="95">
        <f t="shared" si="18"/>
        <v>1.4199999999999982E-2</v>
      </c>
      <c r="E79" s="99">
        <f t="shared" si="19"/>
        <v>1.6786790463327149E-4</v>
      </c>
      <c r="F79" s="100">
        <f t="shared" si="20"/>
        <v>0.29796054599097155</v>
      </c>
      <c r="G79" s="99">
        <f t="shared" si="21"/>
        <v>0.24457418564419592</v>
      </c>
      <c r="H79" s="100">
        <f t="shared" si="22"/>
        <v>0.97829674257678367</v>
      </c>
      <c r="I79" s="98">
        <f t="shared" si="15"/>
        <v>4.4891483712883922</v>
      </c>
      <c r="J79" s="98">
        <f t="shared" si="16"/>
        <v>0.21792479589976463</v>
      </c>
      <c r="K79" s="100">
        <f t="shared" si="23"/>
        <v>1.0221847385140537</v>
      </c>
      <c r="L79" s="100">
        <f t="shared" si="13"/>
        <v>5.3254925568350875E-2</v>
      </c>
      <c r="M79" s="100">
        <f t="shared" si="24"/>
        <v>1.8327971358814196E-3</v>
      </c>
      <c r="N79" s="151">
        <f t="shared" si="25"/>
        <v>0.56450902266663905</v>
      </c>
      <c r="P79" s="97">
        <v>0.18538318385384195</v>
      </c>
      <c r="Q79" s="141">
        <f t="shared" si="17"/>
        <v>0.28801432746393918</v>
      </c>
    </row>
    <row r="80" spans="3:17" x14ac:dyDescent="0.25">
      <c r="C80" s="95">
        <f t="shared" si="14"/>
        <v>-14.399999999999981</v>
      </c>
      <c r="D80" s="95">
        <f t="shared" si="18"/>
        <v>1.4399999999999981E-2</v>
      </c>
      <c r="E80" s="99">
        <f t="shared" si="19"/>
        <v>1.6655942717628392E-4</v>
      </c>
      <c r="F80" s="100">
        <f t="shared" si="20"/>
        <v>0.29812710541814785</v>
      </c>
      <c r="G80" s="99">
        <f t="shared" si="21"/>
        <v>0.24487217984979698</v>
      </c>
      <c r="H80" s="100">
        <f t="shared" si="22"/>
        <v>0.97948871939918791</v>
      </c>
      <c r="I80" s="98">
        <f t="shared" si="15"/>
        <v>4.4897443596995936</v>
      </c>
      <c r="J80" s="98">
        <f t="shared" si="16"/>
        <v>0.21816135639952672</v>
      </c>
      <c r="K80" s="100">
        <f t="shared" si="23"/>
        <v>1.0209408032931646</v>
      </c>
      <c r="L80" s="100">
        <f t="shared" si="13"/>
        <v>5.3125388574357398E-2</v>
      </c>
      <c r="M80" s="100">
        <f t="shared" si="24"/>
        <v>1.8263565137448185E-3</v>
      </c>
      <c r="N80" s="151">
        <f t="shared" si="25"/>
        <v>0.56609698490907245</v>
      </c>
      <c r="P80" s="97">
        <v>0.18538318385384195</v>
      </c>
      <c r="Q80" s="141">
        <f t="shared" si="17"/>
        <v>0.28801432746393918</v>
      </c>
    </row>
    <row r="81" spans="3:17" x14ac:dyDescent="0.25">
      <c r="C81" s="95">
        <f t="shared" si="14"/>
        <v>-14.59999999999998</v>
      </c>
      <c r="D81" s="95">
        <f t="shared" si="18"/>
        <v>1.4599999999999981E-2</v>
      </c>
      <c r="E81" s="99">
        <f t="shared" si="19"/>
        <v>1.6527130274896371E-4</v>
      </c>
      <c r="F81" s="100">
        <f t="shared" si="20"/>
        <v>0.29829237672089681</v>
      </c>
      <c r="G81" s="99">
        <f t="shared" si="21"/>
        <v>0.24516698814653942</v>
      </c>
      <c r="H81" s="100">
        <f t="shared" si="22"/>
        <v>0.98066795258615769</v>
      </c>
      <c r="I81" s="98">
        <f t="shared" si="15"/>
        <v>4.490333976293079</v>
      </c>
      <c r="J81" s="98">
        <f t="shared" si="16"/>
        <v>0.2183953259966048</v>
      </c>
      <c r="K81" s="100">
        <f t="shared" si="23"/>
        <v>1.0197131428256232</v>
      </c>
      <c r="L81" s="100">
        <f t="shared" si="13"/>
        <v>5.2997701001595808E-2</v>
      </c>
      <c r="M81" s="100">
        <f t="shared" si="24"/>
        <v>1.8200149462820824E-3</v>
      </c>
      <c r="N81" s="151">
        <f t="shared" si="25"/>
        <v>0.56766038199304059</v>
      </c>
      <c r="P81" s="97">
        <v>0.18538318385384195</v>
      </c>
      <c r="Q81" s="141">
        <f t="shared" si="17"/>
        <v>0.28801432746393918</v>
      </c>
    </row>
    <row r="82" spans="3:17" x14ac:dyDescent="0.25">
      <c r="C82" s="95">
        <f t="shared" si="14"/>
        <v>-14.799999999999979</v>
      </c>
      <c r="D82" s="95">
        <f t="shared" si="18"/>
        <v>1.479999999999998E-2</v>
      </c>
      <c r="E82" s="99">
        <f t="shared" si="19"/>
        <v>1.6400298925641648E-4</v>
      </c>
      <c r="F82" s="100">
        <f t="shared" si="20"/>
        <v>0.29845637971015321</v>
      </c>
      <c r="G82" s="99">
        <f t="shared" si="21"/>
        <v>0.24545867870855739</v>
      </c>
      <c r="H82" s="100">
        <f t="shared" si="22"/>
        <v>0.98183471483422957</v>
      </c>
      <c r="I82" s="98">
        <f t="shared" si="15"/>
        <v>4.4909173574171151</v>
      </c>
      <c r="J82" s="98">
        <f t="shared" si="16"/>
        <v>0.21862676079145604</v>
      </c>
      <c r="K82" s="100">
        <f t="shared" si="23"/>
        <v>1.0185013677875887</v>
      </c>
      <c r="L82" s="100">
        <f t="shared" si="13"/>
        <v>5.2871816319326657E-2</v>
      </c>
      <c r="M82" s="100">
        <f t="shared" si="24"/>
        <v>1.8137698283569258E-3</v>
      </c>
      <c r="N82" s="151">
        <f t="shared" si="25"/>
        <v>0.56919986209081308</v>
      </c>
      <c r="P82" s="97">
        <v>0.18538318385384195</v>
      </c>
      <c r="Q82" s="141">
        <f t="shared" si="17"/>
        <v>0.28801432746393918</v>
      </c>
    </row>
    <row r="83" spans="3:17" x14ac:dyDescent="0.25">
      <c r="C83" s="95">
        <f t="shared" si="14"/>
        <v>-14.999999999999979</v>
      </c>
      <c r="D83" s="95">
        <f t="shared" si="18"/>
        <v>1.4999999999999979E-2</v>
      </c>
      <c r="E83" s="99">
        <f t="shared" si="19"/>
        <v>1.6275396567138516E-4</v>
      </c>
      <c r="F83" s="100">
        <f t="shared" si="20"/>
        <v>0.2986191336758246</v>
      </c>
      <c r="G83" s="99">
        <f t="shared" si="21"/>
        <v>0.24574731735649794</v>
      </c>
      <c r="H83" s="100">
        <f t="shared" si="22"/>
        <v>0.98298926942599174</v>
      </c>
      <c r="I83" s="98">
        <f t="shared" si="15"/>
        <v>4.4914946347129963</v>
      </c>
      <c r="J83" s="98">
        <f t="shared" si="16"/>
        <v>0.21885571493926634</v>
      </c>
      <c r="K83" s="100">
        <f t="shared" si="23"/>
        <v>1.0173051030190203</v>
      </c>
      <c r="L83" s="100">
        <f t="shared" si="13"/>
        <v>5.274768973641894E-2</v>
      </c>
      <c r="M83" s="100">
        <f t="shared" si="24"/>
        <v>1.8076186547512608E-3</v>
      </c>
      <c r="N83" s="151">
        <f t="shared" si="25"/>
        <v>0.57071604846941626</v>
      </c>
      <c r="P83" s="97">
        <v>0.18538318385384195</v>
      </c>
      <c r="Q83" s="141">
        <f t="shared" si="17"/>
        <v>0.28801432746393918</v>
      </c>
    </row>
    <row r="84" spans="3:17" x14ac:dyDescent="0.25">
      <c r="C84" s="95">
        <f t="shared" si="14"/>
        <v>-15.199999999999978</v>
      </c>
      <c r="D84" s="95">
        <f t="shared" si="18"/>
        <v>1.5199999999999979E-2</v>
      </c>
      <c r="E84" s="99">
        <f t="shared" si="19"/>
        <v>1.6152373095025215E-4</v>
      </c>
      <c r="F84" s="100">
        <f t="shared" si="20"/>
        <v>0.29878065740677484</v>
      </c>
      <c r="G84" s="99">
        <f t="shared" si="21"/>
        <v>0.2460329676703559</v>
      </c>
      <c r="H84" s="100">
        <f t="shared" si="22"/>
        <v>0.9841318706814236</v>
      </c>
      <c r="I84" s="98">
        <f t="shared" si="15"/>
        <v>4.4920659353407117</v>
      </c>
      <c r="J84" s="98">
        <f t="shared" si="16"/>
        <v>0.21908224074337407</v>
      </c>
      <c r="K84" s="100">
        <f t="shared" si="23"/>
        <v>1.0161239868266732</v>
      </c>
      <c r="L84" s="100">
        <f t="shared" si="13"/>
        <v>5.2625278114400251E-2</v>
      </c>
      <c r="M84" s="100">
        <f t="shared" si="24"/>
        <v>1.8015590150930062E-3</v>
      </c>
      <c r="N84" s="151">
        <f t="shared" si="25"/>
        <v>0.57220954075626529</v>
      </c>
      <c r="P84" s="97">
        <v>0.18538318385384195</v>
      </c>
      <c r="Q84" s="141">
        <f t="shared" si="17"/>
        <v>0.28801432746393918</v>
      </c>
    </row>
    <row r="85" spans="3:17" x14ac:dyDescent="0.25">
      <c r="C85" s="95">
        <f t="shared" si="14"/>
        <v>-15.399999999999977</v>
      </c>
      <c r="D85" s="95">
        <f t="shared" si="18"/>
        <v>1.5399999999999978E-2</v>
      </c>
      <c r="E85" s="99">
        <f t="shared" si="19"/>
        <v>1.6031180301860124E-4</v>
      </c>
      <c r="F85" s="100">
        <f t="shared" si="20"/>
        <v>0.29894096920979346</v>
      </c>
      <c r="G85" s="99">
        <f t="shared" si="21"/>
        <v>0.2463156910953932</v>
      </c>
      <c r="H85" s="100">
        <f t="shared" si="22"/>
        <v>0.98526276438157279</v>
      </c>
      <c r="I85" s="98">
        <f t="shared" si="15"/>
        <v>4.4926313821907868</v>
      </c>
      <c r="J85" s="98">
        <f t="shared" si="16"/>
        <v>0.2193063887429641</v>
      </c>
      <c r="K85" s="100">
        <f t="shared" si="23"/>
        <v>1.0149576703303889</v>
      </c>
      <c r="L85" s="100">
        <f t="shared" si="13"/>
        <v>5.2504539885957713E-2</v>
      </c>
      <c r="M85" s="100">
        <f t="shared" si="24"/>
        <v>1.7955885891049602E-3</v>
      </c>
      <c r="N85" s="151">
        <f t="shared" si="25"/>
        <v>0.57368091612463501</v>
      </c>
      <c r="P85" s="97">
        <v>0.18538318385384195</v>
      </c>
      <c r="Q85" s="141">
        <f t="shared" si="17"/>
        <v>0.28801432746393918</v>
      </c>
    </row>
    <row r="86" spans="3:17" x14ac:dyDescent="0.25">
      <c r="C86" s="95">
        <f t="shared" si="14"/>
        <v>-15.599999999999977</v>
      </c>
      <c r="D86" s="95">
        <f t="shared" si="18"/>
        <v>1.5599999999999977E-2</v>
      </c>
      <c r="E86" s="99">
        <f t="shared" si="19"/>
        <v>1.5911771782099206E-4</v>
      </c>
      <c r="F86" s="100">
        <f t="shared" si="20"/>
        <v>0.29910008692761447</v>
      </c>
      <c r="G86" s="99">
        <f t="shared" si="21"/>
        <v>0.24659554704165676</v>
      </c>
      <c r="H86" s="100">
        <f t="shared" si="22"/>
        <v>0.98638218816662704</v>
      </c>
      <c r="I86" s="98">
        <f t="shared" si="15"/>
        <v>4.4931910940833131</v>
      </c>
      <c r="J86" s="98">
        <f t="shared" si="16"/>
        <v>0.21952820779545892</v>
      </c>
      <c r="K86" s="100">
        <f t="shared" si="23"/>
        <v>1.0138058168494346</v>
      </c>
      <c r="L86" s="100">
        <f t="shared" si="13"/>
        <v>5.2385434978478557E-2</v>
      </c>
      <c r="M86" s="100">
        <f t="shared" si="24"/>
        <v>1.7897051421503763E-3</v>
      </c>
      <c r="N86" s="151">
        <f t="shared" si="25"/>
        <v>0.57513073040504492</v>
      </c>
      <c r="P86" s="97">
        <v>0.18538318385384195</v>
      </c>
      <c r="Q86" s="141">
        <f t="shared" si="17"/>
        <v>0.28801432746393918</v>
      </c>
    </row>
    <row r="87" spans="3:17" x14ac:dyDescent="0.25">
      <c r="C87" s="95">
        <f t="shared" si="14"/>
        <v>-15.799999999999976</v>
      </c>
      <c r="D87" s="95">
        <f t="shared" si="18"/>
        <v>1.5799999999999977E-2</v>
      </c>
      <c r="E87" s="99">
        <f t="shared" si="19"/>
        <v>1.5794102843007525E-4</v>
      </c>
      <c r="F87" s="100">
        <f t="shared" si="20"/>
        <v>0.29925802795604456</v>
      </c>
      <c r="G87" s="99">
        <f t="shared" si="21"/>
        <v>0.246872592977566</v>
      </c>
      <c r="H87" s="100">
        <f t="shared" si="22"/>
        <v>0.98749037191026401</v>
      </c>
      <c r="I87" s="98">
        <f t="shared" si="15"/>
        <v>4.4937451859551318</v>
      </c>
      <c r="J87" s="98">
        <f t="shared" si="16"/>
        <v>0.21974774515399584</v>
      </c>
      <c r="K87" s="100">
        <f t="shared" si="23"/>
        <v>1.0126681013259264</v>
      </c>
      <c r="L87" s="100">
        <f t="shared" si="13"/>
        <v>5.2267924742255695E-2</v>
      </c>
      <c r="M87" s="100">
        <f t="shared" si="24"/>
        <v>1.7839065210530534E-3</v>
      </c>
      <c r="N87" s="151">
        <f t="shared" si="25"/>
        <v>0.5765595191281081</v>
      </c>
      <c r="P87" s="97">
        <v>0.18538318385384195</v>
      </c>
      <c r="Q87" s="141">
        <f t="shared" si="17"/>
        <v>0.28801432746393918</v>
      </c>
    </row>
    <row r="88" spans="3:17" x14ac:dyDescent="0.25">
      <c r="C88" s="95">
        <f t="shared" si="14"/>
        <v>-15.999999999999975</v>
      </c>
      <c r="D88" s="95">
        <f t="shared" si="18"/>
        <v>1.5999999999999976E-2</v>
      </c>
      <c r="E88" s="99">
        <f t="shared" si="19"/>
        <v>1.5678130421061068E-4</v>
      </c>
      <c r="F88" s="100">
        <f t="shared" si="20"/>
        <v>0.29941480926025515</v>
      </c>
      <c r="G88" s="99">
        <f t="shared" si="21"/>
        <v>0.24714688451799946</v>
      </c>
      <c r="H88" s="100">
        <f t="shared" si="22"/>
        <v>0.98858753807199784</v>
      </c>
      <c r="I88" s="98">
        <f t="shared" si="15"/>
        <v>4.4942937690359992</v>
      </c>
      <c r="J88" s="98">
        <f t="shared" si="16"/>
        <v>0.2199650465403476</v>
      </c>
      <c r="K88" s="100">
        <f t="shared" si="23"/>
        <v>1.0115442097826353</v>
      </c>
      <c r="L88" s="100">
        <f t="shared" si="13"/>
        <v>5.2151971883016103E-2</v>
      </c>
      <c r="M88" s="100">
        <f t="shared" si="24"/>
        <v>1.7781906501716628E-3</v>
      </c>
      <c r="N88" s="151">
        <f t="shared" si="25"/>
        <v>0.57796779850390601</v>
      </c>
      <c r="P88" s="97">
        <v>0.18538318385384195</v>
      </c>
      <c r="Q88" s="141">
        <f t="shared" si="17"/>
        <v>0.28801432746393918</v>
      </c>
    </row>
    <row r="89" spans="3:17" x14ac:dyDescent="0.25">
      <c r="C89" s="95">
        <f t="shared" si="14"/>
        <v>-16.199999999999974</v>
      </c>
      <c r="D89" s="95">
        <f t="shared" si="18"/>
        <v>1.6199999999999975E-2</v>
      </c>
      <c r="E89" s="99">
        <f t="shared" si="19"/>
        <v>1.5563813003433257E-4</v>
      </c>
      <c r="F89" s="100">
        <f t="shared" si="20"/>
        <v>0.29957044739028948</v>
      </c>
      <c r="G89" s="99">
        <f t="shared" si="21"/>
        <v>0.24741847550727339</v>
      </c>
      <c r="H89" s="100">
        <f t="shared" si="22"/>
        <v>0.98967390202909356</v>
      </c>
      <c r="I89" s="98">
        <f t="shared" si="15"/>
        <v>4.4948369510145465</v>
      </c>
      <c r="J89" s="98">
        <f t="shared" si="16"/>
        <v>0.22018015621361095</v>
      </c>
      <c r="K89" s="100">
        <f t="shared" si="23"/>
        <v>1.010433838812699</v>
      </c>
      <c r="L89" s="100">
        <f t="shared" si="13"/>
        <v>5.2037540398459085E-2</v>
      </c>
      <c r="M89" s="100">
        <f t="shared" si="24"/>
        <v>1.7725555277097991E-3</v>
      </c>
      <c r="N89" s="151">
        <f t="shared" si="25"/>
        <v>0.57935606634251258</v>
      </c>
      <c r="P89" s="97">
        <v>0.18538318385384195</v>
      </c>
      <c r="Q89" s="141">
        <f t="shared" si="17"/>
        <v>0.28801432746393918</v>
      </c>
    </row>
    <row r="90" spans="3:17" x14ac:dyDescent="0.25">
      <c r="C90" s="95">
        <f t="shared" si="14"/>
        <v>-16.399999999999974</v>
      </c>
      <c r="D90" s="95">
        <f t="shared" si="18"/>
        <v>1.6399999999999974E-2</v>
      </c>
      <c r="E90" s="99">
        <f t="shared" si="19"/>
        <v>1.5451110554195983E-4</v>
      </c>
      <c r="F90" s="100">
        <f t="shared" si="20"/>
        <v>0.29972495849583142</v>
      </c>
      <c r="G90" s="99">
        <f t="shared" si="21"/>
        <v>0.24768741809737232</v>
      </c>
      <c r="H90" s="100">
        <f t="shared" si="22"/>
        <v>0.9907496723894893</v>
      </c>
      <c r="I90" s="98">
        <f t="shared" si="15"/>
        <v>4.4953748361947445</v>
      </c>
      <c r="J90" s="98">
        <f t="shared" si="16"/>
        <v>0.22039311703496151</v>
      </c>
      <c r="K90" s="100">
        <f t="shared" si="23"/>
        <v>1.0093366950989757</v>
      </c>
      <c r="L90" s="100">
        <f t="shared" si="13"/>
        <v>5.1924595518517969E-2</v>
      </c>
      <c r="M90" s="100">
        <f t="shared" si="24"/>
        <v>1.7669992222448026E-3</v>
      </c>
      <c r="N90" s="151">
        <f t="shared" si="25"/>
        <v>0.58072480291990392</v>
      </c>
      <c r="P90" s="97">
        <v>0.18538318385384195</v>
      </c>
      <c r="Q90" s="141">
        <f t="shared" si="17"/>
        <v>0.28801432746393918</v>
      </c>
    </row>
    <row r="91" spans="3:17" x14ac:dyDescent="0.25">
      <c r="C91" s="95">
        <f t="shared" si="14"/>
        <v>-16.599999999999973</v>
      </c>
      <c r="D91" s="95">
        <f t="shared" si="18"/>
        <v>1.6599999999999972E-2</v>
      </c>
      <c r="E91" s="99">
        <f t="shared" si="19"/>
        <v>1.5339984444896055E-4</v>
      </c>
      <c r="F91" s="100">
        <f t="shared" si="20"/>
        <v>0.29987835834028037</v>
      </c>
      <c r="G91" s="99">
        <f t="shared" si="21"/>
        <v>0.2479537628217624</v>
      </c>
      <c r="H91" s="100">
        <f t="shared" si="22"/>
        <v>0.99181505128704961</v>
      </c>
      <c r="I91" s="98">
        <f t="shared" si="15"/>
        <v>4.495907525643525</v>
      </c>
      <c r="J91" s="98">
        <f t="shared" si="16"/>
        <v>0.22060397052875003</v>
      </c>
      <c r="K91" s="100">
        <f t="shared" si="23"/>
        <v>1.0082524949609597</v>
      </c>
      <c r="L91" s="100">
        <f t="shared" si="13"/>
        <v>5.1813103649082572E-2</v>
      </c>
      <c r="M91" s="100">
        <f t="shared" si="24"/>
        <v>1.7615198694598089E-3</v>
      </c>
      <c r="N91" s="151">
        <f t="shared" si="25"/>
        <v>0.58207447179313343</v>
      </c>
      <c r="P91" s="97">
        <v>0.18538318385384195</v>
      </c>
      <c r="Q91" s="141">
        <f t="shared" si="17"/>
        <v>0.28801432746393918</v>
      </c>
    </row>
    <row r="92" spans="3:17" x14ac:dyDescent="0.25">
      <c r="C92" s="95">
        <f t="shared" si="14"/>
        <v>-16.799999999999972</v>
      </c>
      <c r="D92" s="95">
        <f t="shared" si="18"/>
        <v>1.6799999999999971E-2</v>
      </c>
      <c r="E92" s="99">
        <f t="shared" si="19"/>
        <v>1.5230397389196177E-4</v>
      </c>
      <c r="F92" s="100">
        <f t="shared" si="20"/>
        <v>0.30003066231417236</v>
      </c>
      <c r="G92" s="99">
        <f t="shared" si="21"/>
        <v>0.24821755866508979</v>
      </c>
      <c r="H92" s="100">
        <f t="shared" si="22"/>
        <v>0.99287023466035917</v>
      </c>
      <c r="I92" s="98">
        <f t="shared" si="15"/>
        <v>4.4964351173301793</v>
      </c>
      <c r="J92" s="98">
        <f t="shared" si="16"/>
        <v>0.22081275694018901</v>
      </c>
      <c r="K92" s="100">
        <f t="shared" si="23"/>
        <v>1.0071809639273552</v>
      </c>
      <c r="L92" s="100">
        <f t="shared" si="13"/>
        <v>5.1703032318941709E-2</v>
      </c>
      <c r="M92" s="100">
        <f t="shared" si="24"/>
        <v>1.7561156690647987E-3</v>
      </c>
      <c r="N92" s="151">
        <f t="shared" si="25"/>
        <v>0.58340552056832862</v>
      </c>
      <c r="P92" s="97">
        <v>0.18538318385384195</v>
      </c>
      <c r="Q92" s="141">
        <f t="shared" si="17"/>
        <v>0.28801432746393918</v>
      </c>
    </row>
    <row r="93" spans="3:17" x14ac:dyDescent="0.25">
      <c r="C93" s="95">
        <f t="shared" si="14"/>
        <v>-16.999999999999972</v>
      </c>
      <c r="D93" s="95">
        <f t="shared" si="18"/>
        <v>1.6999999999999973E-2</v>
      </c>
      <c r="E93" s="99">
        <f t="shared" si="19"/>
        <v>1.5122313381295976E-4</v>
      </c>
      <c r="F93" s="100">
        <f t="shared" si="20"/>
        <v>0.3001818854479853</v>
      </c>
      <c r="G93" s="99">
        <f t="shared" si="21"/>
        <v>0.24847885312904358</v>
      </c>
      <c r="H93" s="100">
        <f t="shared" si="22"/>
        <v>0.99391541251617432</v>
      </c>
      <c r="I93" s="98">
        <f t="shared" si="15"/>
        <v>4.4969577062580868</v>
      </c>
      <c r="J93" s="98">
        <f t="shared" si="16"/>
        <v>0.22101951528986252</v>
      </c>
      <c r="K93" s="100">
        <f t="shared" si="23"/>
        <v>1.0061218363325528</v>
      </c>
      <c r="L93" s="100">
        <f t="shared" si="13"/>
        <v>5.1594350129724166E-2</v>
      </c>
      <c r="M93" s="100">
        <f t="shared" si="24"/>
        <v>1.750784881893548E-3</v>
      </c>
      <c r="N93" s="151">
        <f t="shared" si="25"/>
        <v>0.58471838162477807</v>
      </c>
      <c r="P93" s="97">
        <v>0.18538318385384195</v>
      </c>
      <c r="Q93" s="141">
        <f t="shared" si="17"/>
        <v>0.28801432746393918</v>
      </c>
    </row>
    <row r="94" spans="3:17" x14ac:dyDescent="0.25">
      <c r="C94" s="95">
        <f t="shared" si="14"/>
        <v>-17.199999999999971</v>
      </c>
      <c r="D94" s="95">
        <f t="shared" si="18"/>
        <v>1.7199999999999972E-2</v>
      </c>
      <c r="E94" s="99">
        <f t="shared" si="19"/>
        <v>1.501569763787096E-4</v>
      </c>
      <c r="F94" s="100">
        <f t="shared" si="20"/>
        <v>0.30033204242436401</v>
      </c>
      <c r="G94" s="99">
        <f t="shared" si="21"/>
        <v>0.24873769229463985</v>
      </c>
      <c r="H94" s="100">
        <f t="shared" si="22"/>
        <v>0.9949507691785594</v>
      </c>
      <c r="I94" s="98">
        <f t="shared" si="15"/>
        <v>4.4974753845892801</v>
      </c>
      <c r="J94" s="98">
        <f t="shared" si="16"/>
        <v>0.22122428342527117</v>
      </c>
      <c r="K94" s="100">
        <f t="shared" si="23"/>
        <v>1.0050748549353947</v>
      </c>
      <c r="L94" s="100">
        <f t="shared" si="13"/>
        <v>5.1487026708634288E-2</v>
      </c>
      <c r="M94" s="100">
        <f t="shared" si="24"/>
        <v>1.7455258271644408E-3</v>
      </c>
      <c r="N94" s="151">
        <f t="shared" si="25"/>
        <v>0.58601347279811677</v>
      </c>
      <c r="P94" s="97">
        <v>0.18538318385384195</v>
      </c>
      <c r="Q94" s="141">
        <f t="shared" si="17"/>
        <v>0.28801432746393918</v>
      </c>
    </row>
    <row r="95" spans="3:17" x14ac:dyDescent="0.25">
      <c r="C95" s="95">
        <f t="shared" si="14"/>
        <v>-17.39999999999997</v>
      </c>
      <c r="D95" s="95">
        <f t="shared" si="18"/>
        <v>1.7399999999999971E-2</v>
      </c>
      <c r="E95" s="99">
        <f t="shared" si="19"/>
        <v>1.4910516543288816E-4</v>
      </c>
      <c r="F95" s="100">
        <f t="shared" si="20"/>
        <v>0.30048114758979688</v>
      </c>
      <c r="G95" s="99">
        <f t="shared" si="21"/>
        <v>0.2489941208811626</v>
      </c>
      <c r="H95" s="100">
        <f t="shared" si="22"/>
        <v>0.9959764835246504</v>
      </c>
      <c r="I95" s="98">
        <f t="shared" si="15"/>
        <v>4.4979882417623251</v>
      </c>
      <c r="J95" s="98">
        <f t="shared" si="16"/>
        <v>0.22142709806960809</v>
      </c>
      <c r="K95" s="100">
        <f t="shared" si="23"/>
        <v>1.0040397705587494</v>
      </c>
      <c r="L95" s="100">
        <f t="shared" si="13"/>
        <v>5.1381032663795415E-2</v>
      </c>
      <c r="M95" s="100">
        <f t="shared" si="24"/>
        <v>1.7403368798940954E-3</v>
      </c>
      <c r="N95" s="151">
        <f t="shared" si="25"/>
        <v>0.58729119802537</v>
      </c>
      <c r="P95" s="97">
        <v>0.18538318385384195</v>
      </c>
      <c r="Q95" s="141">
        <f t="shared" si="17"/>
        <v>0.28801432746393918</v>
      </c>
    </row>
    <row r="96" spans="3:17" x14ac:dyDescent="0.25">
      <c r="C96" s="95">
        <f t="shared" si="14"/>
        <v>-17.599999999999969</v>
      </c>
      <c r="D96" s="95">
        <f t="shared" si="18"/>
        <v>1.759999999999997E-2</v>
      </c>
      <c r="E96" s="99">
        <f t="shared" si="19"/>
        <v>1.4806737597881909E-4</v>
      </c>
      <c r="F96" s="100">
        <f t="shared" si="20"/>
        <v>0.30062921496577572</v>
      </c>
      <c r="G96" s="99">
        <f t="shared" si="21"/>
        <v>0.24924818230198031</v>
      </c>
      <c r="H96" s="100">
        <f t="shared" si="22"/>
        <v>0.99699272920792126</v>
      </c>
      <c r="I96" s="98">
        <f t="shared" si="15"/>
        <v>4.4984963646039606</v>
      </c>
      <c r="J96" s="98">
        <f t="shared" si="16"/>
        <v>0.22162799486794621</v>
      </c>
      <c r="K96" s="100">
        <f t="shared" si="23"/>
        <v>1.0030163417485181</v>
      </c>
      <c r="L96" s="100">
        <f t="shared" si="13"/>
        <v>5.1276339542027517E-2</v>
      </c>
      <c r="M96" s="100">
        <f t="shared" si="24"/>
        <v>1.7352164684535827E-3</v>
      </c>
      <c r="N96" s="151">
        <f t="shared" si="25"/>
        <v>0.58855194795440546</v>
      </c>
      <c r="P96" s="97">
        <v>0.18538318385384195</v>
      </c>
      <c r="Q96" s="141">
        <f t="shared" si="17"/>
        <v>0.28801432746393918</v>
      </c>
    </row>
    <row r="97" spans="3:17" x14ac:dyDescent="0.25">
      <c r="C97" s="95">
        <f t="shared" si="14"/>
        <v>-17.799999999999969</v>
      </c>
      <c r="D97" s="95">
        <f t="shared" si="18"/>
        <v>1.7799999999999969E-2</v>
      </c>
      <c r="E97" s="99">
        <f t="shared" si="19"/>
        <v>1.4704329369071654E-4</v>
      </c>
      <c r="F97" s="100">
        <f t="shared" si="20"/>
        <v>0.30077625825946641</v>
      </c>
      <c r="G97" s="99">
        <f t="shared" si="21"/>
        <v>0.2494999187174389</v>
      </c>
      <c r="H97" s="100">
        <f t="shared" si="22"/>
        <v>0.9979996748697556</v>
      </c>
      <c r="I97" s="98">
        <f t="shared" si="15"/>
        <v>4.4989998374348774</v>
      </c>
      <c r="J97" s="98">
        <f t="shared" si="16"/>
        <v>0.22182700843100475</v>
      </c>
      <c r="K97" s="100">
        <f t="shared" si="23"/>
        <v>1.0020043344508158</v>
      </c>
      <c r="L97" s="100">
        <f t="shared" si="13"/>
        <v>5.117291978890022E-2</v>
      </c>
      <c r="M97" s="100">
        <f t="shared" si="24"/>
        <v>1.7301630722578341E-3</v>
      </c>
      <c r="N97" s="151">
        <f t="shared" si="25"/>
        <v>0.58979610052014442</v>
      </c>
      <c r="P97" s="97">
        <v>0.18538318385384195</v>
      </c>
      <c r="Q97" s="141">
        <f t="shared" si="17"/>
        <v>0.28801432746393918</v>
      </c>
    </row>
    <row r="98" spans="3:17" x14ac:dyDescent="0.25">
      <c r="C98" s="95">
        <f t="shared" si="14"/>
        <v>-17.999999999999968</v>
      </c>
      <c r="D98" s="95">
        <f t="shared" si="18"/>
        <v>1.7999999999999967E-2</v>
      </c>
      <c r="E98" s="99">
        <f t="shared" si="19"/>
        <v>1.4603261445156682E-4</v>
      </c>
      <c r="F98" s="100">
        <f t="shared" si="20"/>
        <v>0.30092229087391797</v>
      </c>
      <c r="G98" s="99">
        <f t="shared" si="21"/>
        <v>0.24974937108501777</v>
      </c>
      <c r="H98" s="100">
        <f t="shared" si="22"/>
        <v>0.99899748434007107</v>
      </c>
      <c r="I98" s="98">
        <f t="shared" si="15"/>
        <v>4.4994987421700356</v>
      </c>
      <c r="J98" s="98">
        <f t="shared" si="16"/>
        <v>0.22202417237664804</v>
      </c>
      <c r="K98" s="100">
        <f t="shared" si="23"/>
        <v>1.0010035217061544</v>
      </c>
      <c r="L98" s="100">
        <f t="shared" si="13"/>
        <v>5.107074671091353E-2</v>
      </c>
      <c r="M98" s="100">
        <f t="shared" si="24"/>
        <v>1.7251752195795492E-3</v>
      </c>
      <c r="N98" s="151">
        <f t="shared" si="25"/>
        <v>0.59102402148970046</v>
      </c>
      <c r="P98" s="97">
        <v>0.18538318385384195</v>
      </c>
      <c r="Q98" s="141">
        <f t="shared" si="17"/>
        <v>0.28801432746393918</v>
      </c>
    </row>
    <row r="99" spans="3:17" x14ac:dyDescent="0.25">
      <c r="C99" s="95">
        <f t="shared" si="14"/>
        <v>-18.199999999999967</v>
      </c>
      <c r="D99" s="95">
        <f t="shared" si="18"/>
        <v>1.8199999999999966E-2</v>
      </c>
      <c r="E99" s="99">
        <f t="shared" si="19"/>
        <v>1.4503504391590985E-4</v>
      </c>
      <c r="F99" s="100">
        <f t="shared" si="20"/>
        <v>0.30106732591783386</v>
      </c>
      <c r="G99" s="99">
        <f t="shared" si="21"/>
        <v>0.24999657920692034</v>
      </c>
      <c r="H99" s="100">
        <f t="shared" si="22"/>
        <v>0.99998631682768135</v>
      </c>
      <c r="I99" s="98">
        <f t="shared" si="15"/>
        <v>4.4999931584138411</v>
      </c>
      <c r="J99" s="98">
        <f t="shared" si="16"/>
        <v>0.22221951936925985</v>
      </c>
      <c r="K99" s="100">
        <f t="shared" si="23"/>
        <v>1.0000136833595503</v>
      </c>
      <c r="L99" s="100">
        <f t="shared" si="13"/>
        <v>5.0969794439670479E-2</v>
      </c>
      <c r="M99" s="100">
        <f t="shared" si="24"/>
        <v>1.7202514854795846E-3</v>
      </c>
      <c r="N99" s="151">
        <f t="shared" si="25"/>
        <v>0.59223606497844772</v>
      </c>
      <c r="P99" s="97">
        <v>0.18538318385384195</v>
      </c>
      <c r="Q99" s="141">
        <f t="shared" si="17"/>
        <v>0.28801432746393918</v>
      </c>
    </row>
    <row r="100" spans="3:17" x14ac:dyDescent="0.25">
      <c r="C100" s="95">
        <f t="shared" si="14"/>
        <v>-18.399999999999967</v>
      </c>
      <c r="D100" s="95">
        <f t="shared" si="18"/>
        <v>1.8399999999999968E-2</v>
      </c>
      <c r="E100" s="99">
        <f t="shared" si="19"/>
        <v>1.4405029709591691E-4</v>
      </c>
      <c r="F100" s="100">
        <f t="shared" si="20"/>
        <v>0.30121137621492977</v>
      </c>
      <c r="G100" s="99">
        <f t="shared" si="21"/>
        <v>0.25024158177525929</v>
      </c>
      <c r="H100" s="100">
        <f t="shared" si="22"/>
        <v>1.0009663271010372</v>
      </c>
      <c r="I100" s="98">
        <f t="shared" si="15"/>
        <v>4.5004831635505189</v>
      </c>
      <c r="J100" s="98">
        <f t="shared" si="16"/>
        <v>0.22241308115712521</v>
      </c>
      <c r="K100" s="100">
        <f t="shared" si="23"/>
        <v>0.99903460578555547</v>
      </c>
      <c r="L100" s="100">
        <f t="shared" si="13"/>
        <v>5.0870037897915402E-2</v>
      </c>
      <c r="M100" s="100">
        <f t="shared" si="24"/>
        <v>1.7153904898463881E-3</v>
      </c>
      <c r="N100" s="151">
        <f t="shared" si="25"/>
        <v>0.5934325739388786</v>
      </c>
      <c r="P100" s="97">
        <v>0.18538318385384195</v>
      </c>
      <c r="Q100" s="141">
        <f t="shared" si="17"/>
        <v>0.28801432746393918</v>
      </c>
    </row>
    <row r="101" spans="3:17" x14ac:dyDescent="0.25">
      <c r="C101" s="95">
        <f t="shared" si="14"/>
        <v>-18.599999999999966</v>
      </c>
      <c r="D101" s="95">
        <f t="shared" si="18"/>
        <v>1.8599999999999967E-2</v>
      </c>
      <c r="E101" s="99">
        <f t="shared" si="19"/>
        <v>1.4307809796927762E-4</v>
      </c>
      <c r="F101" s="100">
        <f t="shared" si="20"/>
        <v>0.30135445431289903</v>
      </c>
      <c r="G101" s="99">
        <f t="shared" si="21"/>
        <v>0.25048441641498365</v>
      </c>
      <c r="H101" s="100">
        <f t="shared" si="22"/>
        <v>1.0019376656599346</v>
      </c>
      <c r="I101" s="98">
        <f t="shared" si="15"/>
        <v>4.5009688328299671</v>
      </c>
      <c r="J101" s="98">
        <f t="shared" si="16"/>
        <v>0.22260488860794223</v>
      </c>
      <c r="K101" s="100">
        <f t="shared" si="23"/>
        <v>0.99806608162728538</v>
      </c>
      <c r="L101" s="100">
        <f t="shared" si="13"/>
        <v>5.0771452767321257E-2</v>
      </c>
      <c r="M101" s="100">
        <f t="shared" si="24"/>
        <v>1.7105908955376082E-3</v>
      </c>
      <c r="N101" s="151">
        <f t="shared" si="25"/>
        <v>0.59461388062395915</v>
      </c>
      <c r="P101" s="97">
        <v>0.18538318385384195</v>
      </c>
      <c r="Q101" s="141">
        <f t="shared" si="17"/>
        <v>0.28801432746393918</v>
      </c>
    </row>
    <row r="102" spans="3:17" x14ac:dyDescent="0.25">
      <c r="C102" s="95">
        <f t="shared" si="14"/>
        <v>-18.799999999999965</v>
      </c>
      <c r="D102" s="95">
        <f t="shared" si="18"/>
        <v>1.8799999999999966E-2</v>
      </c>
      <c r="E102" s="99">
        <f t="shared" si="19"/>
        <v>1.4211817910752164E-4</v>
      </c>
      <c r="F102" s="100">
        <f t="shared" si="20"/>
        <v>0.30149657249200656</v>
      </c>
      <c r="G102" s="99">
        <f t="shared" si="21"/>
        <v>0.25072511972468531</v>
      </c>
      <c r="H102" s="100">
        <f t="shared" si="22"/>
        <v>1.0029004788987412</v>
      </c>
      <c r="I102" s="98">
        <f t="shared" si="15"/>
        <v>4.5014502394493707</v>
      </c>
      <c r="J102" s="98">
        <f t="shared" si="16"/>
        <v>0.22279497174257748</v>
      </c>
      <c r="K102" s="100">
        <f t="shared" si="23"/>
        <v>0.9971079095485863</v>
      </c>
      <c r="L102" s="100">
        <f t="shared" si="13"/>
        <v>5.0674015457918033E-2</v>
      </c>
      <c r="M102" s="100">
        <f t="shared" si="24"/>
        <v>1.7058514066175146E-3</v>
      </c>
      <c r="N102" s="151">
        <f t="shared" si="25"/>
        <v>0.5957803070265808</v>
      </c>
      <c r="P102" s="97">
        <v>0.18538318385384195</v>
      </c>
      <c r="Q102" s="141">
        <f t="shared" si="17"/>
        <v>0.28801432746393918</v>
      </c>
    </row>
    <row r="103" spans="3:17" x14ac:dyDescent="0.25">
      <c r="C103" s="95">
        <f t="shared" si="14"/>
        <v>-18.999999999999964</v>
      </c>
      <c r="D103" s="95">
        <f t="shared" si="18"/>
        <v>1.8999999999999965E-2</v>
      </c>
      <c r="E103" s="99">
        <f t="shared" si="19"/>
        <v>1.4117028132350291E-4</v>
      </c>
      <c r="F103" s="100">
        <f t="shared" si="20"/>
        <v>0.30163774277333005</v>
      </c>
      <c r="G103" s="99">
        <f t="shared" si="21"/>
        <v>0.250963727315412</v>
      </c>
      <c r="H103" s="100">
        <f t="shared" si="22"/>
        <v>1.003854909261648</v>
      </c>
      <c r="I103" s="98">
        <f t="shared" si="15"/>
        <v>4.5019274546308239</v>
      </c>
      <c r="J103" s="98">
        <f t="shared" si="16"/>
        <v>0.22298335976717068</v>
      </c>
      <c r="K103" s="100">
        <f t="shared" si="23"/>
        <v>0.99615989399854277</v>
      </c>
      <c r="L103" s="100">
        <f t="shared" si="13"/>
        <v>5.0577703079061564E-2</v>
      </c>
      <c r="M103" s="100">
        <f t="shared" si="24"/>
        <v>1.7011707666843129E-3</v>
      </c>
      <c r="N103" s="151">
        <f t="shared" si="25"/>
        <v>0.59693216529657822</v>
      </c>
      <c r="P103" s="97">
        <v>0.18538318385384195</v>
      </c>
      <c r="Q103" s="141">
        <f t="shared" si="17"/>
        <v>0.28801432746393918</v>
      </c>
    </row>
    <row r="104" spans="3:17" x14ac:dyDescent="0.25">
      <c r="C104" s="95">
        <f t="shared" si="14"/>
        <v>-19.199999999999964</v>
      </c>
      <c r="D104" s="95">
        <f t="shared" si="18"/>
        <v>1.9199999999999964E-2</v>
      </c>
      <c r="E104" s="99">
        <f t="shared" si="19"/>
        <v>1.4023415333686259E-4</v>
      </c>
      <c r="F104" s="100">
        <f t="shared" si="20"/>
        <v>0.30177797692666691</v>
      </c>
      <c r="G104" s="99">
        <f t="shared" si="21"/>
        <v>0.25120027384760535</v>
      </c>
      <c r="H104" s="100">
        <f t="shared" si="22"/>
        <v>1.0048010953904214</v>
      </c>
      <c r="I104" s="98">
        <f t="shared" si="15"/>
        <v>4.5024005476952107</v>
      </c>
      <c r="J104" s="98">
        <f t="shared" si="16"/>
        <v>0.22317008110368622</v>
      </c>
      <c r="K104" s="100">
        <f t="shared" si="23"/>
        <v>0.99522184498758348</v>
      </c>
      <c r="L104" s="100">
        <f t="shared" si="13"/>
        <v>5.0482493411849627E-2</v>
      </c>
      <c r="M104" s="100">
        <f t="shared" si="24"/>
        <v>1.6965477572818714E-3</v>
      </c>
      <c r="N104" s="151">
        <f t="shared" si="25"/>
        <v>0.59806975813668395</v>
      </c>
      <c r="P104" s="97">
        <v>0.18538318385384195</v>
      </c>
      <c r="Q104" s="141">
        <f t="shared" si="17"/>
        <v>0.28801432746393918</v>
      </c>
    </row>
    <row r="105" spans="3:17" x14ac:dyDescent="0.25">
      <c r="C105" s="95">
        <f t="shared" si="14"/>
        <v>-19.399999999999963</v>
      </c>
      <c r="D105" s="95">
        <f t="shared" si="18"/>
        <v>1.9399999999999962E-2</v>
      </c>
      <c r="E105" s="99">
        <f t="shared" si="19"/>
        <v>1.3930955145637428E-4</v>
      </c>
      <c r="F105" s="100">
        <f t="shared" si="20"/>
        <v>0.30191728647812327</v>
      </c>
      <c r="G105" s="99">
        <f t="shared" si="21"/>
        <v>0.25143479306627364</v>
      </c>
      <c r="H105" s="100">
        <f t="shared" si="22"/>
        <v>1.0057391722650946</v>
      </c>
      <c r="I105" s="98">
        <f t="shared" si="15"/>
        <v>4.5028695861325474</v>
      </c>
      <c r="J105" s="98">
        <f t="shared" si="16"/>
        <v>0.22335516341900324</v>
      </c>
      <c r="K105" s="100">
        <f t="shared" si="23"/>
        <v>0.99429357787450101</v>
      </c>
      <c r="L105" s="100">
        <f t="shared" si="13"/>
        <v>5.0388364882898898E-2</v>
      </c>
      <c r="M105" s="100">
        <f t="shared" si="24"/>
        <v>1.691981196390773E-3</v>
      </c>
      <c r="N105" s="151">
        <f t="shared" si="25"/>
        <v>0.59919337917869275</v>
      </c>
      <c r="P105" s="97">
        <v>0.18538318385384195</v>
      </c>
      <c r="Q105" s="141">
        <f t="shared" si="17"/>
        <v>0.28801432746393918</v>
      </c>
    </row>
    <row r="106" spans="3:17" x14ac:dyDescent="0.25">
      <c r="C106" s="95">
        <f t="shared" si="14"/>
        <v>-19.599999999999962</v>
      </c>
      <c r="D106" s="95">
        <f t="shared" si="18"/>
        <v>1.9599999999999961E-2</v>
      </c>
      <c r="E106" s="99">
        <f t="shared" si="19"/>
        <v>1.383962392781546E-4</v>
      </c>
      <c r="F106" s="100">
        <f t="shared" si="20"/>
        <v>0.30205568271740141</v>
      </c>
      <c r="G106" s="99">
        <f t="shared" si="21"/>
        <v>0.25166731783450252</v>
      </c>
      <c r="H106" s="100">
        <f t="shared" si="22"/>
        <v>1.0066692713380101</v>
      </c>
      <c r="I106" s="98">
        <f t="shared" si="15"/>
        <v>4.5033346356690052</v>
      </c>
      <c r="J106" s="98">
        <f t="shared" si="16"/>
        <v>0.22353863365262919</v>
      </c>
      <c r="K106" s="100">
        <f t="shared" si="23"/>
        <v>0.99337491316373883</v>
      </c>
      <c r="L106" s="100">
        <f t="shared" si="13"/>
        <v>5.0295296539401922E-2</v>
      </c>
      <c r="M106" s="100">
        <f t="shared" si="24"/>
        <v>1.6874699369939436E-3</v>
      </c>
      <c r="N106" s="151">
        <f t="shared" si="25"/>
        <v>0.60030331334101694</v>
      </c>
      <c r="P106" s="97">
        <v>0.18538318385384195</v>
      </c>
      <c r="Q106" s="141">
        <f t="shared" si="17"/>
        <v>0.28801432746393918</v>
      </c>
    </row>
    <row r="107" spans="3:17" x14ac:dyDescent="0.25">
      <c r="C107" s="95">
        <f t="shared" si="14"/>
        <v>-19.799999999999962</v>
      </c>
      <c r="D107" s="95">
        <f t="shared" si="18"/>
        <v>1.9799999999999963E-2</v>
      </c>
      <c r="E107" s="99">
        <f t="shared" si="19"/>
        <v>1.3749398739878872E-4</v>
      </c>
      <c r="F107" s="100">
        <f t="shared" si="20"/>
        <v>0.30219317670480017</v>
      </c>
      <c r="G107" s="99">
        <f t="shared" si="21"/>
        <v>0.25189788016539827</v>
      </c>
      <c r="H107" s="100">
        <f t="shared" si="22"/>
        <v>1.0075915206615931</v>
      </c>
      <c r="I107" s="98">
        <f t="shared" si="15"/>
        <v>4.5037957603307968</v>
      </c>
      <c r="J107" s="98">
        <f t="shared" si="16"/>
        <v>0.22372051804311549</v>
      </c>
      <c r="K107" s="100">
        <f t="shared" si="23"/>
        <v>0.99246567631235283</v>
      </c>
      <c r="L107" s="100">
        <f t="shared" si="13"/>
        <v>5.0203268025389186E-2</v>
      </c>
      <c r="M107" s="100">
        <f t="shared" si="24"/>
        <v>1.6830128657124553E-3</v>
      </c>
      <c r="N107" s="151">
        <f t="shared" si="25"/>
        <v>0.60139983716873446</v>
      </c>
      <c r="P107" s="97">
        <v>0.18538318385384195</v>
      </c>
      <c r="Q107" s="141">
        <f t="shared" si="17"/>
        <v>0.28801432746393918</v>
      </c>
    </row>
    <row r="108" spans="3:17" x14ac:dyDescent="0.25">
      <c r="C108" s="95">
        <f t="shared" si="14"/>
        <v>-19.999999999999961</v>
      </c>
      <c r="D108" s="95">
        <f t="shared" si="18"/>
        <v>1.9999999999999962E-2</v>
      </c>
      <c r="E108" s="99">
        <f t="shared" si="19"/>
        <v>1.3660257314249106E-4</v>
      </c>
      <c r="F108" s="100">
        <f t="shared" si="20"/>
        <v>0.30232977927794263</v>
      </c>
      <c r="G108" s="99">
        <f t="shared" si="21"/>
        <v>0.25212651125255348</v>
      </c>
      <c r="H108" s="100">
        <f t="shared" si="22"/>
        <v>1.0085060450102139</v>
      </c>
      <c r="I108" s="98">
        <f t="shared" si="15"/>
        <v>4.5042530225051074</v>
      </c>
      <c r="J108" s="98">
        <f t="shared" si="16"/>
        <v>0.22390084215324971</v>
      </c>
      <c r="K108" s="100">
        <f t="shared" si="23"/>
        <v>0.99156569754608881</v>
      </c>
      <c r="L108" s="100">
        <f t="shared" si="13"/>
        <v>5.0112259559126481E-2</v>
      </c>
      <c r="M108" s="100">
        <f t="shared" si="24"/>
        <v>1.6786089015074016E-3</v>
      </c>
      <c r="N108" s="151">
        <f t="shared" si="25"/>
        <v>0.60248321915715275</v>
      </c>
      <c r="P108" s="97">
        <v>0.18538318385384195</v>
      </c>
      <c r="Q108" s="141">
        <f t="shared" si="17"/>
        <v>0.28801432746393918</v>
      </c>
    </row>
    <row r="109" spans="3:17" x14ac:dyDescent="0.25">
      <c r="C109" s="95">
        <f t="shared" si="14"/>
        <v>-20.19999999999996</v>
      </c>
      <c r="D109" s="95">
        <f t="shared" si="18"/>
        <v>2.0199999999999961E-2</v>
      </c>
      <c r="E109" s="99">
        <f t="shared" si="19"/>
        <v>1.357217803014803E-4</v>
      </c>
      <c r="F109" s="100">
        <f t="shared" si="20"/>
        <v>0.3024655010582441</v>
      </c>
      <c r="G109" s="99">
        <f t="shared" si="21"/>
        <v>0.25235324149911764</v>
      </c>
      <c r="H109" s="100">
        <f t="shared" si="22"/>
        <v>1.0094129659964706</v>
      </c>
      <c r="I109" s="98">
        <f t="shared" si="15"/>
        <v>4.5047064829982357</v>
      </c>
      <c r="J109" s="98">
        <f t="shared" si="16"/>
        <v>0.22407963089409258</v>
      </c>
      <c r="K109" s="100">
        <f t="shared" si="23"/>
        <v>0.99067481168405813</v>
      </c>
      <c r="L109" s="100">
        <f t="shared" si="13"/>
        <v>5.0022251911582258E-2</v>
      </c>
      <c r="M109" s="100">
        <f t="shared" si="24"/>
        <v>1.6742569944440116E-3</v>
      </c>
      <c r="N109" s="151">
        <f t="shared" si="25"/>
        <v>0.60355372005984598</v>
      </c>
      <c r="P109" s="97">
        <v>0.18538318385384195</v>
      </c>
      <c r="Q109" s="141">
        <f t="shared" si="17"/>
        <v>0.28801432746393918</v>
      </c>
    </row>
    <row r="110" spans="3:17" x14ac:dyDescent="0.25">
      <c r="C110" s="95">
        <f t="shared" si="14"/>
        <v>-20.399999999999959</v>
      </c>
      <c r="D110" s="95">
        <f t="shared" si="18"/>
        <v>2.039999999999996E-2</v>
      </c>
      <c r="E110" s="99">
        <f t="shared" si="19"/>
        <v>1.3485139888880232E-4</v>
      </c>
      <c r="F110" s="100">
        <f t="shared" si="20"/>
        <v>0.3026003524571329</v>
      </c>
      <c r="G110" s="99">
        <f t="shared" si="21"/>
        <v>0.25257810054555063</v>
      </c>
      <c r="H110" s="100">
        <f t="shared" si="22"/>
        <v>1.0103124021822025</v>
      </c>
      <c r="I110" s="98">
        <f t="shared" si="15"/>
        <v>4.5051562010911015</v>
      </c>
      <c r="J110" s="98">
        <f t="shared" si="16"/>
        <v>0.2242569085479246</v>
      </c>
      <c r="K110" s="100">
        <f t="shared" si="23"/>
        <v>0.98979285797152594</v>
      </c>
      <c r="L110" s="100">
        <f t="shared" si="13"/>
        <v>4.9933226385904243E-2</v>
      </c>
      <c r="M110" s="100">
        <f t="shared" si="24"/>
        <v>1.6699561245144422E-3</v>
      </c>
      <c r="N110" s="151">
        <f t="shared" si="25"/>
        <v>0.60461159318205304</v>
      </c>
      <c r="P110" s="97">
        <v>0.18538318385384195</v>
      </c>
      <c r="Q110" s="141">
        <f t="shared" si="17"/>
        <v>0.28801432746393918</v>
      </c>
    </row>
    <row r="111" spans="3:17" x14ac:dyDescent="0.25">
      <c r="C111" s="95">
        <f t="shared" si="14"/>
        <v>-20.599999999999959</v>
      </c>
      <c r="D111" s="95">
        <f t="shared" si="18"/>
        <v>2.0599999999999959E-2</v>
      </c>
      <c r="E111" s="99">
        <f t="shared" si="19"/>
        <v>1.3399122490288844E-4</v>
      </c>
      <c r="F111" s="100">
        <f t="shared" si="20"/>
        <v>0.30273434368203578</v>
      </c>
      <c r="G111" s="99">
        <f t="shared" si="21"/>
        <v>0.25280111729613153</v>
      </c>
      <c r="H111" s="100">
        <f t="shared" si="22"/>
        <v>1.0112044691845261</v>
      </c>
      <c r="I111" s="98">
        <f t="shared" si="15"/>
        <v>4.5056022345922635</v>
      </c>
      <c r="J111" s="98">
        <f t="shared" si="16"/>
        <v>0.22443269879016195</v>
      </c>
      <c r="K111" s="100">
        <f t="shared" si="23"/>
        <v>0.98891967992036089</v>
      </c>
      <c r="L111" s="100">
        <f t="shared" si="13"/>
        <v>4.9845164797848569E-2</v>
      </c>
      <c r="M111" s="100">
        <f t="shared" si="24"/>
        <v>1.6657053005159138E-3</v>
      </c>
      <c r="N111" s="151">
        <f t="shared" si="25"/>
        <v>0.60565708466027157</v>
      </c>
      <c r="P111" s="97">
        <v>0.18538318385384195</v>
      </c>
      <c r="Q111" s="141">
        <f t="shared" si="17"/>
        <v>0.28801432746393918</v>
      </c>
    </row>
    <row r="112" spans="3:17" x14ac:dyDescent="0.25">
      <c r="C112" s="95">
        <f t="shared" si="14"/>
        <v>-20.799999999999958</v>
      </c>
      <c r="D112" s="95">
        <f t="shared" si="18"/>
        <v>2.0799999999999957E-2</v>
      </c>
      <c r="E112" s="99">
        <f t="shared" si="19"/>
        <v>1.3314106010318274E-4</v>
      </c>
      <c r="F112" s="100">
        <f t="shared" si="20"/>
        <v>0.30286748474213898</v>
      </c>
      <c r="G112" s="99">
        <f t="shared" si="21"/>
        <v>0.25302231994429042</v>
      </c>
      <c r="H112" s="100">
        <f t="shared" si="22"/>
        <v>1.0120892797771617</v>
      </c>
      <c r="I112" s="98">
        <f t="shared" si="15"/>
        <v>4.5060446398885805</v>
      </c>
      <c r="J112" s="98">
        <f t="shared" si="16"/>
        <v>0.22460702471029831</v>
      </c>
      <c r="K112" s="100">
        <f t="shared" si="23"/>
        <v>0.98805512515672189</v>
      </c>
      <c r="L112" s="100">
        <f t="shared" si="13"/>
        <v>4.9758049457108322E-2</v>
      </c>
      <c r="M112" s="100">
        <f t="shared" si="24"/>
        <v>1.6615035589810818E-3</v>
      </c>
      <c r="N112" s="151">
        <f t="shared" si="25"/>
        <v>0.60669043372881981</v>
      </c>
      <c r="P112" s="97">
        <v>0.18538318385384195</v>
      </c>
      <c r="Q112" s="141">
        <f t="shared" si="17"/>
        <v>0.28801432746393918</v>
      </c>
    </row>
    <row r="113" spans="3:17" x14ac:dyDescent="0.25">
      <c r="C113" s="95">
        <f t="shared" si="14"/>
        <v>-20.999999999999957</v>
      </c>
      <c r="D113" s="95">
        <f t="shared" si="18"/>
        <v>2.0999999999999956E-2</v>
      </c>
      <c r="E113" s="99">
        <f t="shared" si="19"/>
        <v>1.3230071179621636E-4</v>
      </c>
      <c r="F113" s="100">
        <f t="shared" si="20"/>
        <v>0.30299978545393519</v>
      </c>
      <c r="G113" s="99">
        <f t="shared" si="21"/>
        <v>0.25324173599682687</v>
      </c>
      <c r="H113" s="100">
        <f t="shared" si="22"/>
        <v>1.0129669439873075</v>
      </c>
      <c r="I113" s="98">
        <f t="shared" si="15"/>
        <v>4.5064834719936542</v>
      </c>
      <c r="J113" s="98">
        <f t="shared" si="16"/>
        <v>0.22477990883192434</v>
      </c>
      <c r="K113" s="100">
        <f t="shared" si="23"/>
        <v>0.98719904527558799</v>
      </c>
      <c r="L113" s="100">
        <f t="shared" si="13"/>
        <v>4.9671863149491964E-2</v>
      </c>
      <c r="M113" s="100">
        <f t="shared" si="24"/>
        <v>1.6573499631577389E-3</v>
      </c>
      <c r="N113" s="151">
        <f t="shared" si="25"/>
        <v>0.6077118729740949</v>
      </c>
      <c r="P113" s="97">
        <v>0.18538318385384195</v>
      </c>
      <c r="Q113" s="141">
        <f t="shared" si="17"/>
        <v>0.28801432746393918</v>
      </c>
    </row>
    <row r="114" spans="3:17" x14ac:dyDescent="0.25">
      <c r="C114" s="95">
        <f t="shared" si="14"/>
        <v>-21.199999999999957</v>
      </c>
      <c r="D114" s="95">
        <f t="shared" si="18"/>
        <v>2.1199999999999958E-2</v>
      </c>
      <c r="E114" s="99">
        <f t="shared" si="19"/>
        <v>1.3146999263154778E-4</v>
      </c>
      <c r="F114" s="100">
        <f t="shared" si="20"/>
        <v>0.30313125544656672</v>
      </c>
      <c r="G114" s="99">
        <f t="shared" si="21"/>
        <v>0.25345939229707476</v>
      </c>
      <c r="H114" s="100">
        <f t="shared" si="22"/>
        <v>1.013837569188299</v>
      </c>
      <c r="I114" s="98">
        <f t="shared" si="15"/>
        <v>4.5069187845941494</v>
      </c>
      <c r="J114" s="98">
        <f t="shared" si="16"/>
        <v>0.22495137313187588</v>
      </c>
      <c r="K114" s="100">
        <f t="shared" si="23"/>
        <v>0.9863512957017585</v>
      </c>
      <c r="L114" s="100">
        <f t="shared" si="13"/>
        <v>4.9586589119905086E-2</v>
      </c>
      <c r="M114" s="100">
        <f t="shared" si="24"/>
        <v>1.6532436020351171E-3</v>
      </c>
      <c r="N114" s="151">
        <f t="shared" si="25"/>
        <v>0.60872162857720724</v>
      </c>
      <c r="P114" s="97">
        <v>0.18538318385384195</v>
      </c>
      <c r="Q114" s="141">
        <f t="shared" si="17"/>
        <v>0.28801432746393918</v>
      </c>
    </row>
    <row r="115" spans="3:17" x14ac:dyDescent="0.25">
      <c r="C115" s="95">
        <f t="shared" si="14"/>
        <v>-21.399999999999956</v>
      </c>
      <c r="D115" s="95">
        <f t="shared" si="18"/>
        <v>2.1399999999999957E-2</v>
      </c>
      <c r="E115" s="99">
        <f t="shared" si="19"/>
        <v>1.3064872040702342E-4</v>
      </c>
      <c r="F115" s="100">
        <f t="shared" si="20"/>
        <v>0.30326190416697374</v>
      </c>
      <c r="G115" s="99">
        <f t="shared" si="21"/>
        <v>0.25367531504706864</v>
      </c>
      <c r="H115" s="100">
        <f t="shared" si="22"/>
        <v>1.0147012601882746</v>
      </c>
      <c r="I115" s="98">
        <f t="shared" si="15"/>
        <v>4.5073506300941375</v>
      </c>
      <c r="J115" s="98">
        <f t="shared" si="16"/>
        <v>0.2251214390585545</v>
      </c>
      <c r="K115" s="100">
        <f t="shared" si="23"/>
        <v>0.9855117355569788</v>
      </c>
      <c r="L115" s="100">
        <f t="shared" si="13"/>
        <v>4.950221105609217E-2</v>
      </c>
      <c r="M115" s="100">
        <f t="shared" si="24"/>
        <v>1.6491835894142633E-3</v>
      </c>
      <c r="N115" s="151">
        <f t="shared" si="25"/>
        <v>0.60971992054562185</v>
      </c>
      <c r="P115" s="97">
        <v>0.18538318385384195</v>
      </c>
      <c r="Q115" s="141">
        <f t="shared" si="17"/>
        <v>0.28801432746393918</v>
      </c>
    </row>
    <row r="116" spans="3:17" x14ac:dyDescent="0.25">
      <c r="C116" s="95">
        <f t="shared" si="14"/>
        <v>-21.599999999999955</v>
      </c>
      <c r="D116" s="95">
        <f t="shared" si="18"/>
        <v>2.1599999999999956E-2</v>
      </c>
      <c r="E116" s="99">
        <f t="shared" si="19"/>
        <v>1.2983671788285267E-4</v>
      </c>
      <c r="F116" s="100">
        <f t="shared" si="20"/>
        <v>0.3033917408848566</v>
      </c>
      <c r="G116" s="99">
        <f t="shared" si="21"/>
        <v>0.25388952982876445</v>
      </c>
      <c r="H116" s="100">
        <f t="shared" si="22"/>
        <v>1.0155581193150578</v>
      </c>
      <c r="I116" s="98">
        <f t="shared" si="15"/>
        <v>4.5077790596575289</v>
      </c>
      <c r="J116" s="98">
        <f t="shared" si="16"/>
        <v>0.22529012754946626</v>
      </c>
      <c r="K116" s="100">
        <f t="shared" si="23"/>
        <v>0.98468022753286544</v>
      </c>
      <c r="L116" s="100">
        <f t="shared" si="13"/>
        <v>4.9418713073097635E-2</v>
      </c>
      <c r="M116" s="100">
        <f t="shared" si="24"/>
        <v>1.6451690630200912E-3</v>
      </c>
      <c r="N116" s="151">
        <f t="shared" si="25"/>
        <v>0.61070696293440663</v>
      </c>
      <c r="P116" s="97">
        <v>0.18538318385384195</v>
      </c>
      <c r="Q116" s="141">
        <f t="shared" si="17"/>
        <v>0.28801432746393918</v>
      </c>
    </row>
    <row r="117" spans="3:17" x14ac:dyDescent="0.25">
      <c r="C117" s="95">
        <f t="shared" si="14"/>
        <v>-21.799999999999955</v>
      </c>
      <c r="D117" s="95">
        <f t="shared" si="18"/>
        <v>2.1799999999999955E-2</v>
      </c>
      <c r="E117" s="99">
        <f t="shared" si="19"/>
        <v>1.2903381260401825E-4</v>
      </c>
      <c r="F117" s="100">
        <f t="shared" si="20"/>
        <v>0.30352077469746064</v>
      </c>
      <c r="G117" s="99">
        <f t="shared" si="21"/>
        <v>0.254102061624363</v>
      </c>
      <c r="H117" s="100">
        <f t="shared" si="22"/>
        <v>1.016408246497452</v>
      </c>
      <c r="I117" s="98">
        <f t="shared" si="15"/>
        <v>4.508204123248726</v>
      </c>
      <c r="J117" s="98">
        <f t="shared" si="16"/>
        <v>0.2254574590480172</v>
      </c>
      <c r="K117" s="100">
        <f t="shared" si="23"/>
        <v>0.98385663776932653</v>
      </c>
      <c r="L117" s="100">
        <f t="shared" si="13"/>
        <v>4.9336079698407941E-2</v>
      </c>
      <c r="M117" s="100">
        <f t="shared" si="24"/>
        <v>1.6411991836528849E-3</v>
      </c>
      <c r="N117" s="151">
        <f t="shared" si="25"/>
        <v>0.61168296405763867</v>
      </c>
      <c r="P117" s="97">
        <v>0.18538318385384195</v>
      </c>
      <c r="Q117" s="141">
        <f t="shared" si="17"/>
        <v>0.28801432746393918</v>
      </c>
    </row>
    <row r="118" spans="3:17" x14ac:dyDescent="0.25">
      <c r="C118" s="95">
        <f t="shared" si="14"/>
        <v>-21.999999999999954</v>
      </c>
      <c r="D118" s="95">
        <f t="shared" si="18"/>
        <v>2.1999999999999954E-2</v>
      </c>
      <c r="E118" s="99">
        <f t="shared" si="19"/>
        <v>1.2823983673057699E-4</v>
      </c>
      <c r="F118" s="100">
        <f t="shared" si="20"/>
        <v>0.30364901453419124</v>
      </c>
      <c r="G118" s="99">
        <f t="shared" si="21"/>
        <v>0.25431293483578332</v>
      </c>
      <c r="H118" s="100">
        <f t="shared" si="22"/>
        <v>1.0172517393431333</v>
      </c>
      <c r="I118" s="98">
        <f t="shared" si="15"/>
        <v>4.5086258696715671</v>
      </c>
      <c r="J118" s="98">
        <f t="shared" si="16"/>
        <v>0.22562345351960539</v>
      </c>
      <c r="K118" s="100">
        <f t="shared" si="23"/>
        <v>0.9830408357381889</v>
      </c>
      <c r="L118" s="100">
        <f t="shared" si="13"/>
        <v>4.9254295857738883E-2</v>
      </c>
      <c r="M118" s="100">
        <f t="shared" si="24"/>
        <v>1.6372731343771503E-3</v>
      </c>
      <c r="N118" s="151">
        <f t="shared" si="25"/>
        <v>0.61264812669049884</v>
      </c>
      <c r="P118" s="97">
        <v>0.18538318385384195</v>
      </c>
      <c r="Q118" s="141">
        <f t="shared" si="17"/>
        <v>0.28801432746393918</v>
      </c>
    </row>
    <row r="119" spans="3:17" x14ac:dyDescent="0.25">
      <c r="C119" s="95">
        <f t="shared" si="14"/>
        <v>-22.199999999999953</v>
      </c>
      <c r="D119" s="95">
        <f t="shared" si="18"/>
        <v>2.2199999999999952E-2</v>
      </c>
      <c r="E119" s="99">
        <f t="shared" si="19"/>
        <v>1.2745462687543005E-4</v>
      </c>
      <c r="F119" s="100">
        <f t="shared" si="20"/>
        <v>0.30377646916106665</v>
      </c>
      <c r="G119" s="99">
        <f t="shared" si="21"/>
        <v>0.25452217330332777</v>
      </c>
      <c r="H119" s="100">
        <f t="shared" si="22"/>
        <v>1.0180886932133111</v>
      </c>
      <c r="I119" s="98">
        <f t="shared" si="15"/>
        <v>4.5090443466066557</v>
      </c>
      <c r="J119" s="98">
        <f t="shared" si="16"/>
        <v>0.22578813046704407</v>
      </c>
      <c r="K119" s="100">
        <f t="shared" si="23"/>
        <v>0.9822326941317665</v>
      </c>
      <c r="L119" s="100">
        <f t="shared" si="13"/>
        <v>4.9173346861434673E-2</v>
      </c>
      <c r="M119" s="100">
        <f t="shared" si="24"/>
        <v>1.6333901197458649E-3</v>
      </c>
      <c r="N119" s="151">
        <f t="shared" si="25"/>
        <v>0.61360264826253741</v>
      </c>
      <c r="P119" s="97">
        <v>0.18538318385384195</v>
      </c>
      <c r="Q119" s="141">
        <f t="shared" si="17"/>
        <v>0.28801432746393918</v>
      </c>
    </row>
    <row r="120" spans="3:17" x14ac:dyDescent="0.25">
      <c r="C120" s="95">
        <f t="shared" si="14"/>
        <v>-22.399999999999952</v>
      </c>
      <c r="D120" s="95">
        <f t="shared" si="18"/>
        <v>2.2399999999999951E-2</v>
      </c>
      <c r="E120" s="99">
        <f t="shared" si="19"/>
        <v>1.2667802394917299E-4</v>
      </c>
      <c r="F120" s="100">
        <f t="shared" si="20"/>
        <v>0.30390314718501582</v>
      </c>
      <c r="G120" s="99">
        <f t="shared" si="21"/>
        <v>0.25472980032358117</v>
      </c>
      <c r="H120" s="100">
        <f t="shared" si="22"/>
        <v>1.0189192012943247</v>
      </c>
      <c r="I120" s="98">
        <f t="shared" si="15"/>
        <v>4.5094596006471619</v>
      </c>
      <c r="J120" s="98">
        <f t="shared" si="16"/>
        <v>0.22595150894535068</v>
      </c>
      <c r="K120" s="100">
        <f t="shared" si="23"/>
        <v>0.98143208875611354</v>
      </c>
      <c r="L120" s="100">
        <f t="shared" si="13"/>
        <v>4.9093218391446883E-2</v>
      </c>
      <c r="M120" s="100">
        <f t="shared" si="24"/>
        <v>1.6295493650582582E-3</v>
      </c>
      <c r="N120" s="151">
        <f t="shared" si="25"/>
        <v>0.6145467210425779</v>
      </c>
      <c r="P120" s="97">
        <v>0.18538318385384195</v>
      </c>
      <c r="Q120" s="141">
        <f t="shared" si="17"/>
        <v>0.28801432746393918</v>
      </c>
    </row>
    <row r="121" spans="3:17" x14ac:dyDescent="0.25">
      <c r="C121" s="95">
        <f t="shared" si="14"/>
        <v>-22.599999999999952</v>
      </c>
      <c r="D121" s="95">
        <f t="shared" si="18"/>
        <v>2.2599999999999953E-2</v>
      </c>
      <c r="E121" s="99">
        <f t="shared" si="19"/>
        <v>1.2590987301165166E-4</v>
      </c>
      <c r="F121" s="100">
        <f t="shared" si="20"/>
        <v>0.30402905705802746</v>
      </c>
      <c r="G121" s="99">
        <f t="shared" si="21"/>
        <v>0.25493583866658059</v>
      </c>
      <c r="H121" s="100">
        <f t="shared" si="22"/>
        <v>1.0197433546663224</v>
      </c>
      <c r="I121" s="98">
        <f t="shared" si="15"/>
        <v>4.5098716773331615</v>
      </c>
      <c r="J121" s="98">
        <f t="shared" si="16"/>
        <v>0.22611360757593238</v>
      </c>
      <c r="K121" s="100">
        <f t="shared" si="23"/>
        <v>0.98063889842872987</v>
      </c>
      <c r="L121" s="100">
        <f t="shared" si="13"/>
        <v>4.9013896488864055E-2</v>
      </c>
      <c r="M121" s="100">
        <f t="shared" si="24"/>
        <v>1.6257501156494234E-3</v>
      </c>
      <c r="N121" s="151">
        <f t="shared" si="25"/>
        <v>0.61548053231568445</v>
      </c>
      <c r="P121" s="97">
        <v>0.18538318385384195</v>
      </c>
      <c r="Q121" s="141">
        <f t="shared" si="17"/>
        <v>0.28801432746393918</v>
      </c>
    </row>
    <row r="122" spans="3:17" x14ac:dyDescent="0.25">
      <c r="C122" s="95">
        <f t="shared" si="14"/>
        <v>-22.799999999999951</v>
      </c>
      <c r="D122" s="95">
        <f t="shared" si="18"/>
        <v>2.2799999999999952E-2</v>
      </c>
      <c r="E122" s="99">
        <f t="shared" si="19"/>
        <v>1.2515002312988468E-4</v>
      </c>
      <c r="F122" s="100">
        <f t="shared" si="20"/>
        <v>0.30415420708115737</v>
      </c>
      <c r="G122" s="99">
        <f t="shared" si="21"/>
        <v>0.25514031059229331</v>
      </c>
      <c r="H122" s="100">
        <f t="shared" si="22"/>
        <v>1.0205612423691732</v>
      </c>
      <c r="I122" s="98">
        <f t="shared" si="15"/>
        <v>4.5102806211845863</v>
      </c>
      <c r="J122" s="98">
        <f t="shared" si="16"/>
        <v>0.22627444456019938</v>
      </c>
      <c r="K122" s="100">
        <f t="shared" si="23"/>
        <v>0.97985300488048954</v>
      </c>
      <c r="L122" s="100">
        <f t="shared" si="13"/>
        <v>4.8935367541963537E-2</v>
      </c>
      <c r="M122" s="100">
        <f t="shared" si="24"/>
        <v>1.6219916362100874E-3</v>
      </c>
      <c r="N122" s="151">
        <f t="shared" si="25"/>
        <v>0.61640426455260677</v>
      </c>
      <c r="P122" s="97">
        <v>0.18538318385384195</v>
      </c>
      <c r="Q122" s="141">
        <f t="shared" si="17"/>
        <v>0.28801432746393918</v>
      </c>
    </row>
    <row r="123" spans="3:17" x14ac:dyDescent="0.25">
      <c r="C123" s="95">
        <f t="shared" si="14"/>
        <v>-22.99999999999995</v>
      </c>
      <c r="D123" s="95">
        <f t="shared" si="18"/>
        <v>2.2999999999999951E-2</v>
      </c>
      <c r="E123" s="99">
        <f t="shared" si="19"/>
        <v>1.2439832724201748E-4</v>
      </c>
      <c r="F123" s="100">
        <f t="shared" si="20"/>
        <v>0.30427860540839941</v>
      </c>
      <c r="G123" s="99">
        <f t="shared" si="21"/>
        <v>0.25534323786643587</v>
      </c>
      <c r="H123" s="100">
        <f t="shared" si="22"/>
        <v>1.0213729514657435</v>
      </c>
      <c r="I123" s="98">
        <f t="shared" si="15"/>
        <v>4.5106864757328715</v>
      </c>
      <c r="J123" s="98">
        <f t="shared" si="16"/>
        <v>0.22643403769263223</v>
      </c>
      <c r="K123" s="100">
        <f t="shared" si="23"/>
        <v>0.97907429266158674</v>
      </c>
      <c r="L123" s="100">
        <f t="shared" si="13"/>
        <v>4.8857618274759755E-2</v>
      </c>
      <c r="M123" s="100">
        <f t="shared" si="24"/>
        <v>1.6182732101350558E-3</v>
      </c>
      <c r="N123" s="151">
        <f t="shared" si="25"/>
        <v>0.61731809557207817</v>
      </c>
      <c r="P123" s="97">
        <v>0.18538318385384195</v>
      </c>
      <c r="Q123" s="141">
        <f t="shared" si="17"/>
        <v>0.28801432746393918</v>
      </c>
    </row>
    <row r="124" spans="3:17" x14ac:dyDescent="0.25">
      <c r="C124" s="95">
        <f t="shared" si="14"/>
        <v>-23.19999999999995</v>
      </c>
      <c r="D124" s="95">
        <f t="shared" si="18"/>
        <v>2.319999999999995E-2</v>
      </c>
      <c r="E124" s="99">
        <f t="shared" si="19"/>
        <v>1.2365464202701115E-4</v>
      </c>
      <c r="F124" s="100">
        <f t="shared" si="20"/>
        <v>0.30440226005042642</v>
      </c>
      <c r="G124" s="99">
        <f t="shared" si="21"/>
        <v>0.25554464177566666</v>
      </c>
      <c r="H124" s="100">
        <f t="shared" si="22"/>
        <v>1.0221785671026666</v>
      </c>
      <c r="I124" s="98">
        <f t="shared" si="15"/>
        <v>4.5110892835513337</v>
      </c>
      <c r="J124" s="98">
        <f t="shared" si="16"/>
        <v>0.22659240437333161</v>
      </c>
      <c r="K124" s="100">
        <f t="shared" si="23"/>
        <v>0.97830264905129927</v>
      </c>
      <c r="L124" s="100">
        <f t="shared" si="13"/>
        <v>4.8780635736023932E-2</v>
      </c>
      <c r="M124" s="100">
        <f t="shared" si="24"/>
        <v>1.6145941388988505E-3</v>
      </c>
      <c r="N124" s="151">
        <f t="shared" si="25"/>
        <v>0.61822219869633055</v>
      </c>
      <c r="P124" s="97">
        <v>0.18538318385384195</v>
      </c>
      <c r="Q124" s="141">
        <f t="shared" si="17"/>
        <v>0.28801432746393918</v>
      </c>
    </row>
    <row r="125" spans="3:17" x14ac:dyDescent="0.25">
      <c r="C125" s="95">
        <f t="shared" si="14"/>
        <v>-23.399999999999949</v>
      </c>
      <c r="D125" s="95">
        <f t="shared" si="18"/>
        <v>2.3399999999999949E-2</v>
      </c>
      <c r="E125" s="99">
        <f t="shared" si="19"/>
        <v>1.2291882777977012E-4</v>
      </c>
      <c r="F125" s="100">
        <f t="shared" si="20"/>
        <v>0.30452517887820618</v>
      </c>
      <c r="G125" s="99">
        <f t="shared" si="21"/>
        <v>0.25574454314218226</v>
      </c>
      <c r="H125" s="100">
        <f t="shared" si="22"/>
        <v>1.022978172568729</v>
      </c>
      <c r="I125" s="98">
        <f t="shared" si="15"/>
        <v>4.5114890862843646</v>
      </c>
      <c r="J125" s="98">
        <f t="shared" si="16"/>
        <v>0.22674956162007426</v>
      </c>
      <c r="K125" s="100">
        <f t="shared" si="23"/>
        <v>0.9775379639713816</v>
      </c>
      <c r="L125" s="100">
        <f t="shared" si="13"/>
        <v>4.8704407288751993E-2</v>
      </c>
      <c r="M125" s="100">
        <f t="shared" si="24"/>
        <v>1.6109537414572062E-3</v>
      </c>
      <c r="N125" s="151">
        <f t="shared" si="25"/>
        <v>0.61911674290016372</v>
      </c>
      <c r="P125" s="97">
        <v>0.18538318385384195</v>
      </c>
      <c r="Q125" s="141">
        <f t="shared" si="17"/>
        <v>0.28801432746393918</v>
      </c>
    </row>
    <row r="126" spans="3:17" x14ac:dyDescent="0.25">
      <c r="C126" s="95">
        <f t="shared" si="14"/>
        <v>-23.599999999999948</v>
      </c>
      <c r="D126" s="95">
        <f t="shared" si="18"/>
        <v>2.3599999999999947E-2</v>
      </c>
      <c r="E126" s="99">
        <f t="shared" si="19"/>
        <v>1.2219074829144126E-4</v>
      </c>
      <c r="F126" s="100">
        <f t="shared" si="20"/>
        <v>0.30464736962649763</v>
      </c>
      <c r="G126" s="99">
        <f t="shared" si="21"/>
        <v>0.25594296233774566</v>
      </c>
      <c r="H126" s="100">
        <f t="shared" si="22"/>
        <v>1.0237718493509826</v>
      </c>
      <c r="I126" s="98">
        <f t="shared" si="15"/>
        <v>4.5118859246754912</v>
      </c>
      <c r="J126" s="98">
        <f t="shared" si="16"/>
        <v>0.22690552607989872</v>
      </c>
      <c r="K126" s="100">
        <f t="shared" si="23"/>
        <v>0.97678012990291463</v>
      </c>
      <c r="L126" s="100">
        <f t="shared" si="13"/>
        <v>4.8628920600058856E-2</v>
      </c>
      <c r="M126" s="100">
        <f t="shared" si="24"/>
        <v>1.607351353673141E-3</v>
      </c>
      <c r="N126" s="151">
        <f t="shared" si="25"/>
        <v>0.62000189295388797</v>
      </c>
      <c r="P126" s="97">
        <v>0.18538318385384195</v>
      </c>
      <c r="Q126" s="141">
        <f t="shared" si="17"/>
        <v>0.28801432746393918</v>
      </c>
    </row>
    <row r="127" spans="3:17" x14ac:dyDescent="0.25">
      <c r="C127" s="95">
        <f t="shared" si="14"/>
        <v>-23.799999999999947</v>
      </c>
      <c r="D127" s="95">
        <f t="shared" si="18"/>
        <v>2.3799999999999946E-2</v>
      </c>
      <c r="E127" s="99">
        <f t="shared" si="19"/>
        <v>1.2147027073462821E-4</v>
      </c>
      <c r="F127" s="100">
        <f t="shared" si="20"/>
        <v>0.30476883989723225</v>
      </c>
      <c r="G127" s="99">
        <f t="shared" si="21"/>
        <v>0.25613991929717339</v>
      </c>
      <c r="H127" s="100">
        <f t="shared" si="22"/>
        <v>1.0245596771886936</v>
      </c>
      <c r="I127" s="98">
        <f t="shared" si="15"/>
        <v>4.5122798385943472</v>
      </c>
      <c r="J127" s="98">
        <f t="shared" si="16"/>
        <v>0.2270603140402439</v>
      </c>
      <c r="K127" s="100">
        <f t="shared" si="23"/>
        <v>0.9760290418064439</v>
      </c>
      <c r="L127" s="100">
        <f t="shared" si="13"/>
        <v>4.8554163631478332E-2</v>
      </c>
      <c r="M127" s="100">
        <f t="shared" si="24"/>
        <v>1.6037863277663963E-3</v>
      </c>
      <c r="N127" s="151">
        <f t="shared" si="25"/>
        <v>0.62087780956043936</v>
      </c>
      <c r="P127" s="97">
        <v>0.18538318385384195</v>
      </c>
      <c r="Q127" s="141">
        <f t="shared" si="17"/>
        <v>0.28801432746393918</v>
      </c>
    </row>
    <row r="128" spans="3:17" x14ac:dyDescent="0.25">
      <c r="C128" s="95">
        <f t="shared" si="14"/>
        <v>-23.999999999999947</v>
      </c>
      <c r="D128" s="95">
        <f t="shared" si="18"/>
        <v>2.3999999999999948E-2</v>
      </c>
      <c r="E128" s="99">
        <f t="shared" si="19"/>
        <v>1.2075726555327927E-4</v>
      </c>
      <c r="F128" s="100">
        <f t="shared" si="20"/>
        <v>0.30488959716278552</v>
      </c>
      <c r="G128" s="99">
        <f t="shared" si="21"/>
        <v>0.25633543353130717</v>
      </c>
      <c r="H128" s="100">
        <f t="shared" si="22"/>
        <v>1.0253417341252287</v>
      </c>
      <c r="I128" s="98">
        <f t="shared" si="15"/>
        <v>4.5126708670626146</v>
      </c>
      <c r="J128" s="98">
        <f t="shared" si="16"/>
        <v>0.22721394143966089</v>
      </c>
      <c r="K128" s="100">
        <f t="shared" si="23"/>
        <v>0.9752845970452485</v>
      </c>
      <c r="L128" s="100">
        <f t="shared" si="13"/>
        <v>4.8480124629648964E-2</v>
      </c>
      <c r="M128" s="100">
        <f t="shared" si="24"/>
        <v>1.6002580317851021E-3</v>
      </c>
      <c r="N128" s="151">
        <f t="shared" si="25"/>
        <v>0.62174464948695496</v>
      </c>
      <c r="P128" s="97">
        <v>0.18538318385384195</v>
      </c>
      <c r="Q128" s="141">
        <f t="shared" si="17"/>
        <v>0.28801432746393918</v>
      </c>
    </row>
    <row r="129" spans="3:17" x14ac:dyDescent="0.25">
      <c r="C129" s="95">
        <f t="shared" si="14"/>
        <v>-24.199999999999946</v>
      </c>
      <c r="D129" s="95">
        <f t="shared" si="18"/>
        <v>2.4199999999999947E-2</v>
      </c>
      <c r="E129" s="99">
        <f t="shared" si="19"/>
        <v>1.2005160635702043E-4</v>
      </c>
      <c r="F129" s="100">
        <f t="shared" si="20"/>
        <v>0.30500964876914255</v>
      </c>
      <c r="G129" s="99">
        <f t="shared" si="21"/>
        <v>0.25652952413949359</v>
      </c>
      <c r="H129" s="100">
        <f t="shared" si="22"/>
        <v>1.0261180965579744</v>
      </c>
      <c r="I129" s="98">
        <f t="shared" si="15"/>
        <v>4.5130590482789872</v>
      </c>
      <c r="J129" s="98">
        <f t="shared" si="16"/>
        <v>0.22736642387811765</v>
      </c>
      <c r="K129" s="100">
        <f t="shared" si="23"/>
        <v>0.97454669531159688</v>
      </c>
      <c r="L129" s="100">
        <f t="shared" si="13"/>
        <v>4.840679211736771E-2</v>
      </c>
      <c r="M129" s="100">
        <f t="shared" si="24"/>
        <v>1.5967658490986137E-3</v>
      </c>
      <c r="N129" s="151">
        <f t="shared" si="25"/>
        <v>0.62260256569107075</v>
      </c>
      <c r="P129" s="97">
        <v>0.18538318385384195</v>
      </c>
      <c r="Q129" s="141">
        <f t="shared" si="17"/>
        <v>0.28801432746393918</v>
      </c>
    </row>
    <row r="130" spans="3:17" x14ac:dyDescent="0.25">
      <c r="C130" s="95">
        <f t="shared" si="14"/>
        <v>-24.399999999999945</v>
      </c>
      <c r="D130" s="95">
        <f t="shared" si="18"/>
        <v>2.4399999999999946E-2</v>
      </c>
      <c r="E130" s="99">
        <f t="shared" si="19"/>
        <v>1.1935316981972273E-4</v>
      </c>
      <c r="F130" s="100">
        <f t="shared" si="20"/>
        <v>0.30512900193896225</v>
      </c>
      <c r="G130" s="99">
        <f t="shared" si="21"/>
        <v>0.25672220982159455</v>
      </c>
      <c r="H130" s="100">
        <f t="shared" si="22"/>
        <v>1.0268888392863782</v>
      </c>
      <c r="I130" s="98">
        <f t="shared" si="15"/>
        <v>4.5134444196431893</v>
      </c>
      <c r="J130" s="98">
        <f t="shared" si="16"/>
        <v>0.22751777662691566</v>
      </c>
      <c r="K130" s="100">
        <f t="shared" si="23"/>
        <v>0.97381523855584584</v>
      </c>
      <c r="L130" s="100">
        <f t="shared" si="13"/>
        <v>4.8334154884993825E-2</v>
      </c>
      <c r="M130" s="100">
        <f t="shared" si="24"/>
        <v>1.5933091779104908E-3</v>
      </c>
      <c r="N130" s="151">
        <f t="shared" si="25"/>
        <v>0.62345170744219636</v>
      </c>
      <c r="P130" s="97">
        <v>0.18538318385384195</v>
      </c>
      <c r="Q130" s="141">
        <f t="shared" si="17"/>
        <v>0.28801432746393918</v>
      </c>
    </row>
    <row r="131" spans="3:17" x14ac:dyDescent="0.25">
      <c r="C131" s="95">
        <f t="shared" si="14"/>
        <v>-24.599999999999945</v>
      </c>
      <c r="D131" s="95">
        <f t="shared" si="18"/>
        <v>2.4599999999999945E-2</v>
      </c>
      <c r="E131" s="99">
        <f t="shared" si="19"/>
        <v>1.1866183558209816E-4</v>
      </c>
      <c r="F131" s="100">
        <f t="shared" si="20"/>
        <v>0.30524766377454438</v>
      </c>
      <c r="G131" s="99">
        <f t="shared" si="21"/>
        <v>0.25691350888955056</v>
      </c>
      <c r="H131" s="100">
        <f t="shared" si="22"/>
        <v>1.0276540355582022</v>
      </c>
      <c r="I131" s="98">
        <f t="shared" si="15"/>
        <v>4.5138270177791009</v>
      </c>
      <c r="J131" s="98">
        <f t="shared" si="16"/>
        <v>0.22766801463823705</v>
      </c>
      <c r="K131" s="100">
        <f t="shared" si="23"/>
        <v>0.97309013091825103</v>
      </c>
      <c r="L131" s="100">
        <f t="shared" si="13"/>
        <v>4.8262201982186489E-2</v>
      </c>
      <c r="M131" s="100">
        <f t="shared" si="24"/>
        <v>1.5898874307906669E-3</v>
      </c>
      <c r="N131" s="151">
        <f t="shared" si="25"/>
        <v>0.62429222043800858</v>
      </c>
      <c r="P131" s="97">
        <v>0.18538318385384195</v>
      </c>
      <c r="Q131" s="141">
        <f t="shared" si="17"/>
        <v>0.28801432746393918</v>
      </c>
    </row>
    <row r="132" spans="3:17" x14ac:dyDescent="0.25">
      <c r="C132" s="95">
        <f t="shared" si="14"/>
        <v>-24.799999999999944</v>
      </c>
      <c r="D132" s="95">
        <f t="shared" si="18"/>
        <v>2.4799999999999944E-2</v>
      </c>
      <c r="E132" s="99">
        <f t="shared" si="19"/>
        <v>1.1797748615813339E-4</v>
      </c>
      <c r="F132" s="100">
        <f t="shared" si="20"/>
        <v>0.30536564126070254</v>
      </c>
      <c r="G132" s="99">
        <f t="shared" si="21"/>
        <v>0.25710343927851603</v>
      </c>
      <c r="H132" s="100">
        <f t="shared" si="22"/>
        <v>1.0284137571140641</v>
      </c>
      <c r="I132" s="98">
        <f t="shared" si="15"/>
        <v>4.5142068785570322</v>
      </c>
      <c r="J132" s="98">
        <f t="shared" si="16"/>
        <v>0.22781715255433685</v>
      </c>
      <c r="K132" s="100">
        <f t="shared" si="23"/>
        <v>0.97237127866336714</v>
      </c>
      <c r="L132" s="100">
        <f t="shared" si="13"/>
        <v>4.8190922709960837E-2</v>
      </c>
      <c r="M132" s="100">
        <f t="shared" si="24"/>
        <v>1.5865000342259166E-3</v>
      </c>
      <c r="N132" s="151">
        <f t="shared" si="25"/>
        <v>0.62512424691638313</v>
      </c>
      <c r="P132" s="97">
        <v>0.18538318385384195</v>
      </c>
      <c r="Q132" s="141">
        <f t="shared" si="17"/>
        <v>0.28801432746393918</v>
      </c>
    </row>
    <row r="133" spans="3:17" x14ac:dyDescent="0.25">
      <c r="C133" s="95">
        <f t="shared" si="14"/>
        <v>-24.999999999999943</v>
      </c>
      <c r="D133" s="95">
        <f t="shared" si="18"/>
        <v>2.4999999999999942E-2</v>
      </c>
      <c r="E133" s="99">
        <f t="shared" si="19"/>
        <v>1.1730000684518332E-4</v>
      </c>
      <c r="F133" s="100">
        <f t="shared" si="20"/>
        <v>0.30548294126754771</v>
      </c>
      <c r="G133" s="99">
        <f t="shared" si="21"/>
        <v>0.25729201855758688</v>
      </c>
      <c r="H133" s="100">
        <f t="shared" si="22"/>
        <v>1.0291680742303475</v>
      </c>
      <c r="I133" s="98">
        <f t="shared" si="15"/>
        <v>4.5145840371151742</v>
      </c>
      <c r="J133" s="98">
        <f t="shared" si="16"/>
        <v>0.22796520471639894</v>
      </c>
      <c r="K133" s="100">
        <f t="shared" si="23"/>
        <v>0.97165859011691502</v>
      </c>
      <c r="L133" s="100">
        <f t="shared" si="13"/>
        <v>4.8120306613047455E-2</v>
      </c>
      <c r="M133" s="100">
        <f t="shared" si="24"/>
        <v>1.5831464281877486E-3</v>
      </c>
      <c r="N133" s="151">
        <f t="shared" si="25"/>
        <v>0.62594792576298119</v>
      </c>
      <c r="P133" s="97">
        <v>0.18538318385384195</v>
      </c>
      <c r="Q133" s="141">
        <f t="shared" si="17"/>
        <v>0.28801432746393918</v>
      </c>
    </row>
    <row r="134" spans="3:17" x14ac:dyDescent="0.25">
      <c r="C134" s="95">
        <f t="shared" si="14"/>
        <v>-25.199999999999942</v>
      </c>
      <c r="D134" s="95">
        <f t="shared" si="18"/>
        <v>2.5199999999999945E-2</v>
      </c>
      <c r="E134" s="99">
        <f t="shared" si="19"/>
        <v>1.1662928563754973E-4</v>
      </c>
      <c r="F134" s="100">
        <f t="shared" si="20"/>
        <v>0.30559957055318526</v>
      </c>
      <c r="G134" s="99">
        <f t="shared" si="21"/>
        <v>0.25747926394013781</v>
      </c>
      <c r="H134" s="100">
        <f t="shared" si="22"/>
        <v>1.0299170557605513</v>
      </c>
      <c r="I134" s="98">
        <f t="shared" si="15"/>
        <v>4.5149585278802755</v>
      </c>
      <c r="J134" s="98">
        <f t="shared" si="16"/>
        <v>0.22811218517306875</v>
      </c>
      <c r="K134" s="100">
        <f t="shared" si="23"/>
        <v>0.97095197560500757</v>
      </c>
      <c r="L134" s="100">
        <f t="shared" si="13"/>
        <v>4.8050343472541647E-2</v>
      </c>
      <c r="M134" s="100">
        <f t="shared" si="24"/>
        <v>1.5798260657169357E-3</v>
      </c>
      <c r="N134" s="151">
        <f t="shared" si="25"/>
        <v>0.62676339261469194</v>
      </c>
      <c r="P134" s="97">
        <v>0.18538318385384195</v>
      </c>
      <c r="Q134" s="141">
        <f t="shared" si="17"/>
        <v>0.28801432746393918</v>
      </c>
    </row>
    <row r="135" spans="3:17" x14ac:dyDescent="0.25">
      <c r="C135" s="95">
        <f t="shared" si="14"/>
        <v>-25.399999999999942</v>
      </c>
      <c r="D135" s="95">
        <f t="shared" si="18"/>
        <v>2.5399999999999943E-2</v>
      </c>
      <c r="E135" s="99">
        <f t="shared" si="19"/>
        <v>1.1596521314338714E-4</v>
      </c>
      <c r="F135" s="100">
        <f t="shared" si="20"/>
        <v>0.30571553576632865</v>
      </c>
      <c r="G135" s="99">
        <f t="shared" si="21"/>
        <v>0.25766519229378698</v>
      </c>
      <c r="H135" s="100">
        <f t="shared" si="22"/>
        <v>1.0306607691751479</v>
      </c>
      <c r="I135" s="98">
        <f t="shared" si="15"/>
        <v>4.5153303845875739</v>
      </c>
      <c r="J135" s="98">
        <f t="shared" si="16"/>
        <v>0.22825810768867749</v>
      </c>
      <c r="K135" s="100">
        <f t="shared" si="23"/>
        <v>0.97025134739562646</v>
      </c>
      <c r="L135" s="100">
        <f t="shared" si="13"/>
        <v>4.7981023298829181E-2</v>
      </c>
      <c r="M135" s="100">
        <f t="shared" si="24"/>
        <v>1.576538412523908E-3</v>
      </c>
      <c r="N135" s="151">
        <f t="shared" si="25"/>
        <v>0.62757077995912025</v>
      </c>
      <c r="P135" s="97">
        <v>0.18538318385384195</v>
      </c>
      <c r="Q135" s="141">
        <f t="shared" si="17"/>
        <v>0.28801432746393918</v>
      </c>
    </row>
    <row r="136" spans="3:17" x14ac:dyDescent="0.25">
      <c r="C136" s="95">
        <f t="shared" si="14"/>
        <v>-25.599999999999941</v>
      </c>
      <c r="D136" s="95">
        <f t="shared" si="18"/>
        <v>2.5599999999999942E-2</v>
      </c>
      <c r="E136" s="99">
        <f t="shared" si="19"/>
        <v>1.153076825047816E-4</v>
      </c>
      <c r="F136" s="100">
        <f t="shared" si="20"/>
        <v>0.30583084344883343</v>
      </c>
      <c r="G136" s="99">
        <f t="shared" si="21"/>
        <v>0.25784982015000424</v>
      </c>
      <c r="H136" s="100">
        <f t="shared" si="22"/>
        <v>1.031399280600017</v>
      </c>
      <c r="I136" s="98">
        <f t="shared" si="15"/>
        <v>4.5156996403000083</v>
      </c>
      <c r="J136" s="98">
        <f t="shared" si="16"/>
        <v>0.22840298575117238</v>
      </c>
      <c r="K136" s="100">
        <f t="shared" si="23"/>
        <v>0.96955661964224915</v>
      </c>
      <c r="L136" s="100">
        <f t="shared" ref="L136:L166" si="26">K136^2/(2*9.81)</f>
        <v>4.7912336324775991E-2</v>
      </c>
      <c r="M136" s="100">
        <f t="shared" si="24"/>
        <v>1.5732829466042803E-3</v>
      </c>
      <c r="N136" s="151">
        <f t="shared" si="25"/>
        <v>0.62837021723030129</v>
      </c>
      <c r="P136" s="97">
        <v>0.18538318385384195</v>
      </c>
      <c r="Q136" s="141">
        <f t="shared" si="17"/>
        <v>0.28801432746393918</v>
      </c>
    </row>
    <row r="137" spans="3:17" x14ac:dyDescent="0.25">
      <c r="C137" s="95">
        <f t="shared" ref="C137:C166" si="27">C136+$B$16</f>
        <v>-25.79999999999994</v>
      </c>
      <c r="D137" s="95">
        <f t="shared" si="18"/>
        <v>2.5799999999999941E-2</v>
      </c>
      <c r="E137" s="99">
        <f t="shared" si="19"/>
        <v>1.1465658932085605E-4</v>
      </c>
      <c r="F137" s="100">
        <f t="shared" si="20"/>
        <v>0.30594550003815429</v>
      </c>
      <c r="G137" s="99">
        <f t="shared" si="21"/>
        <v>0.25803316371337831</v>
      </c>
      <c r="H137" s="100">
        <f t="shared" si="22"/>
        <v>1.0321326548535132</v>
      </c>
      <c r="I137" s="98">
        <f t="shared" ref="I137:I166" si="28">$B$7+2*G137</f>
        <v>4.5160663274267563</v>
      </c>
      <c r="J137" s="98">
        <f t="shared" ref="J137:J166" si="29">H137/I137</f>
        <v>0.22854683257976416</v>
      </c>
      <c r="K137" s="100">
        <f t="shared" si="23"/>
        <v>0.96886770832953284</v>
      </c>
      <c r="L137" s="100">
        <f t="shared" si="26"/>
        <v>4.7844272999170268E-2</v>
      </c>
      <c r="M137" s="100">
        <f t="shared" si="24"/>
        <v>1.5700591578688475E-3</v>
      </c>
      <c r="N137" s="151">
        <f t="shared" si="25"/>
        <v>0.6291618309008109</v>
      </c>
      <c r="P137" s="97">
        <v>0.18538318385384195</v>
      </c>
      <c r="Q137" s="141">
        <f t="shared" ref="Q137:Q166" si="30">Q136</f>
        <v>0.28801432746393918</v>
      </c>
    </row>
    <row r="138" spans="3:17" x14ac:dyDescent="0.25">
      <c r="C138" s="95">
        <f t="shared" si="27"/>
        <v>-25.99999999999994</v>
      </c>
      <c r="D138" s="95">
        <f t="shared" ref="D138:D166" si="31">-$B$11*C138</f>
        <v>2.599999999999994E-2</v>
      </c>
      <c r="E138" s="99">
        <f t="shared" ref="E138:E166" si="32">($B$11-M137)*$B$16</f>
        <v>1.140118315737695E-4</v>
      </c>
      <c r="F138" s="100">
        <f t="shared" ref="F138:F166" si="33">F137+E138</f>
        <v>0.30605951186972807</v>
      </c>
      <c r="G138" s="99">
        <f t="shared" ref="G138:G166" si="34">F138-L137</f>
        <v>0.25821523887055781</v>
      </c>
      <c r="H138" s="100">
        <f t="shared" ref="H138:H166" si="35">$B$7*G138</f>
        <v>1.0328609554822312</v>
      </c>
      <c r="I138" s="98">
        <f t="shared" si="28"/>
        <v>4.5164304777411157</v>
      </c>
      <c r="J138" s="98">
        <f t="shared" si="29"/>
        <v>0.22868966113230524</v>
      </c>
      <c r="K138" s="100">
        <f t="shared" ref="K138:K166" si="36">$B$10/H138</f>
        <v>0.96818453122096304</v>
      </c>
      <c r="L138" s="100">
        <f t="shared" si="26"/>
        <v>4.7776823980405503E-2</v>
      </c>
      <c r="M138" s="100">
        <f t="shared" ref="M138:M166" si="37">$B$13*L138/(4*J138)</f>
        <v>1.5668665477873817E-3</v>
      </c>
      <c r="N138" s="151">
        <f t="shared" ref="N138:N166" si="38">1-$B$10^2/($B$7^2*G138^3*9.81)</f>
        <v>0.62994574457043717</v>
      </c>
      <c r="P138" s="97">
        <v>0.18538318385384195</v>
      </c>
      <c r="Q138" s="141">
        <f t="shared" si="30"/>
        <v>0.28801432746393918</v>
      </c>
    </row>
    <row r="139" spans="3:17" x14ac:dyDescent="0.25">
      <c r="C139" s="95">
        <f t="shared" si="27"/>
        <v>-26.199999999999939</v>
      </c>
      <c r="D139" s="95">
        <f t="shared" si="31"/>
        <v>2.6199999999999939E-2</v>
      </c>
      <c r="E139" s="99">
        <f t="shared" si="32"/>
        <v>1.1337330955747635E-4</v>
      </c>
      <c r="F139" s="100">
        <f t="shared" si="33"/>
        <v>0.30617288517928554</v>
      </c>
      <c r="G139" s="99">
        <f t="shared" si="34"/>
        <v>0.25839606119888003</v>
      </c>
      <c r="H139" s="100">
        <f t="shared" si="35"/>
        <v>1.0335842447955201</v>
      </c>
      <c r="I139" s="98">
        <f t="shared" si="28"/>
        <v>4.5167921223977601</v>
      </c>
      <c r="J139" s="98">
        <f t="shared" si="29"/>
        <v>0.22883148411240967</v>
      </c>
      <c r="K139" s="100">
        <f t="shared" si="36"/>
        <v>0.96750700780838206</v>
      </c>
      <c r="L139" s="100">
        <f t="shared" si="26"/>
        <v>4.7709980130393917E-2</v>
      </c>
      <c r="M139" s="100">
        <f t="shared" si="37"/>
        <v>1.5637046290456205E-3</v>
      </c>
      <c r="N139" s="151">
        <f t="shared" si="38"/>
        <v>0.63072207905156175</v>
      </c>
      <c r="P139" s="97">
        <v>0.18538318385384195</v>
      </c>
      <c r="Q139" s="141">
        <f t="shared" si="30"/>
        <v>0.28801432746393918</v>
      </c>
    </row>
    <row r="140" spans="3:17" x14ac:dyDescent="0.25">
      <c r="C140" s="95">
        <f t="shared" si="27"/>
        <v>-26.399999999999938</v>
      </c>
      <c r="D140" s="95">
        <f t="shared" si="31"/>
        <v>2.6399999999999937E-2</v>
      </c>
      <c r="E140" s="99">
        <f t="shared" si="32"/>
        <v>1.1274092580912409E-4</v>
      </c>
      <c r="F140" s="100">
        <f t="shared" si="33"/>
        <v>0.30628562610509469</v>
      </c>
      <c r="G140" s="99">
        <f t="shared" si="34"/>
        <v>0.25857564597470079</v>
      </c>
      <c r="H140" s="100">
        <f t="shared" si="35"/>
        <v>1.0343025838988031</v>
      </c>
      <c r="I140" s="98">
        <f t="shared" si="28"/>
        <v>4.5171512919494017</v>
      </c>
      <c r="J140" s="98">
        <f t="shared" si="29"/>
        <v>0.22897231397632559</v>
      </c>
      <c r="K140" s="100">
        <f t="shared" si="36"/>
        <v>0.96683505926331581</v>
      </c>
      <c r="L140" s="100">
        <f t="shared" si="26"/>
        <v>4.7643732508700271E-2</v>
      </c>
      <c r="M140" s="100">
        <f t="shared" si="37"/>
        <v>1.5605729252148696E-3</v>
      </c>
      <c r="N140" s="151">
        <f t="shared" si="38"/>
        <v>0.63149095245140163</v>
      </c>
      <c r="P140" s="97">
        <v>0.18538318385384195</v>
      </c>
      <c r="Q140" s="141">
        <f t="shared" si="30"/>
        <v>0.28801432746393918</v>
      </c>
    </row>
    <row r="141" spans="3:17" x14ac:dyDescent="0.25">
      <c r="C141" s="95">
        <f t="shared" si="27"/>
        <v>-26.599999999999937</v>
      </c>
      <c r="D141" s="95">
        <f t="shared" si="31"/>
        <v>2.659999999999994E-2</v>
      </c>
      <c r="E141" s="99">
        <f t="shared" si="32"/>
        <v>1.1211458504297394E-4</v>
      </c>
      <c r="F141" s="100">
        <f t="shared" si="33"/>
        <v>0.30639774069013764</v>
      </c>
      <c r="G141" s="99">
        <f t="shared" si="34"/>
        <v>0.25875400818143734</v>
      </c>
      <c r="H141" s="100">
        <f t="shared" si="35"/>
        <v>1.0350160327257494</v>
      </c>
      <c r="I141" s="98">
        <f t="shared" si="28"/>
        <v>4.5175080163628749</v>
      </c>
      <c r="J141" s="98">
        <f t="shared" si="29"/>
        <v>0.22911216293957104</v>
      </c>
      <c r="K141" s="100">
        <f t="shared" si="36"/>
        <v>0.96616860839002316</v>
      </c>
      <c r="L141" s="100">
        <f t="shared" si="26"/>
        <v>4.7578072366886541E-2</v>
      </c>
      <c r="M141" s="100">
        <f t="shared" si="37"/>
        <v>1.5574709704336621E-3</v>
      </c>
      <c r="N141" s="151">
        <f t="shared" si="38"/>
        <v>0.63225248025124325</v>
      </c>
      <c r="P141" s="97">
        <v>0.18538318385384195</v>
      </c>
      <c r="Q141" s="141">
        <f t="shared" si="30"/>
        <v>0.28801432746393918</v>
      </c>
    </row>
    <row r="142" spans="3:17" x14ac:dyDescent="0.25">
      <c r="C142" s="95">
        <f t="shared" si="27"/>
        <v>-26.799999999999937</v>
      </c>
      <c r="D142" s="95">
        <f t="shared" si="31"/>
        <v>2.6799999999999938E-2</v>
      </c>
      <c r="E142" s="99">
        <f t="shared" si="32"/>
        <v>1.1149419408673242E-4</v>
      </c>
      <c r="F142" s="100">
        <f t="shared" si="33"/>
        <v>0.30650923488422438</v>
      </c>
      <c r="G142" s="99">
        <f t="shared" si="34"/>
        <v>0.25893116251733783</v>
      </c>
      <c r="H142" s="100">
        <f t="shared" si="35"/>
        <v>1.0357246500693513</v>
      </c>
      <c r="I142" s="98">
        <f t="shared" si="28"/>
        <v>4.5178623250346757</v>
      </c>
      <c r="J142" s="98">
        <f t="shared" si="29"/>
        <v>0.2292510429833432</v>
      </c>
      <c r="K142" s="100">
        <f t="shared" si="36"/>
        <v>0.96550757958019129</v>
      </c>
      <c r="L142" s="100">
        <f t="shared" si="26"/>
        <v>4.751299114305807E-2</v>
      </c>
      <c r="M142" s="100">
        <f t="shared" si="37"/>
        <v>1.5543983091009395E-3</v>
      </c>
      <c r="N142" s="151">
        <f t="shared" si="38"/>
        <v>0.63300677538280747</v>
      </c>
      <c r="P142" s="97">
        <v>0.18538318385384195</v>
      </c>
      <c r="Q142" s="141">
        <f t="shared" si="30"/>
        <v>0.28801432746393918</v>
      </c>
    </row>
    <row r="143" spans="3:17" x14ac:dyDescent="0.25">
      <c r="C143" s="95">
        <f t="shared" si="27"/>
        <v>-26.999999999999936</v>
      </c>
      <c r="D143" s="95">
        <f t="shared" si="31"/>
        <v>2.6999999999999937E-2</v>
      </c>
      <c r="E143" s="99">
        <f t="shared" si="32"/>
        <v>1.1087966182018791E-4</v>
      </c>
      <c r="F143" s="100">
        <f t="shared" si="33"/>
        <v>0.30662011454604454</v>
      </c>
      <c r="G143" s="99">
        <f t="shared" si="34"/>
        <v>0.25910712340298647</v>
      </c>
      <c r="H143" s="100">
        <f t="shared" si="35"/>
        <v>1.0364284936119459</v>
      </c>
      <c r="I143" s="98">
        <f t="shared" si="28"/>
        <v>4.5182142468059734</v>
      </c>
      <c r="J143" s="98">
        <f t="shared" si="29"/>
        <v>0.22938896586070931</v>
      </c>
      <c r="K143" s="100">
        <f t="shared" si="36"/>
        <v>0.96485189876921196</v>
      </c>
      <c r="L143" s="100">
        <f t="shared" si="26"/>
        <v>4.7448480456603138E-2</v>
      </c>
      <c r="M143" s="100">
        <f t="shared" si="37"/>
        <v>1.5513544955802832E-3</v>
      </c>
      <c r="N143" s="151">
        <f t="shared" si="38"/>
        <v>0.63375394830186094</v>
      </c>
      <c r="P143" s="97">
        <v>0.18538318385384195</v>
      </c>
      <c r="Q143" s="141">
        <f t="shared" si="30"/>
        <v>0.28801432746393918</v>
      </c>
    </row>
    <row r="144" spans="3:17" x14ac:dyDescent="0.25">
      <c r="C144" s="95">
        <f t="shared" si="27"/>
        <v>-27.199999999999935</v>
      </c>
      <c r="D144" s="95">
        <f t="shared" si="31"/>
        <v>2.7199999999999936E-2</v>
      </c>
      <c r="E144" s="99">
        <f t="shared" si="32"/>
        <v>1.1027089911605665E-4</v>
      </c>
      <c r="F144" s="100">
        <f t="shared" si="33"/>
        <v>0.30673038544516062</v>
      </c>
      <c r="G144" s="99">
        <f t="shared" si="34"/>
        <v>0.25928190498855747</v>
      </c>
      <c r="H144" s="100">
        <f t="shared" si="35"/>
        <v>1.0371276199542299</v>
      </c>
      <c r="I144" s="98">
        <f t="shared" si="28"/>
        <v>4.518563809977115</v>
      </c>
      <c r="J144" s="98">
        <f t="shared" si="29"/>
        <v>0.22952594310259006</v>
      </c>
      <c r="K144" s="100">
        <f t="shared" si="36"/>
        <v>0.96420149339396788</v>
      </c>
      <c r="L144" s="100">
        <f t="shared" si="26"/>
        <v>4.7384532103117119E-2</v>
      </c>
      <c r="M144" s="100">
        <f t="shared" si="37"/>
        <v>1.5483390939146876E-3</v>
      </c>
      <c r="N144" s="151">
        <f t="shared" si="38"/>
        <v>0.63449410705920051</v>
      </c>
      <c r="P144" s="97">
        <v>0.18538318385384195</v>
      </c>
      <c r="Q144" s="141">
        <f t="shared" si="30"/>
        <v>0.28801432746393918</v>
      </c>
    </row>
    <row r="145" spans="3:17" x14ac:dyDescent="0.25">
      <c r="C145" s="95">
        <f t="shared" si="27"/>
        <v>-27.399999999999935</v>
      </c>
      <c r="D145" s="95">
        <f t="shared" si="31"/>
        <v>2.7399999999999935E-2</v>
      </c>
      <c r="E145" s="99">
        <f t="shared" si="32"/>
        <v>1.0966781878293752E-4</v>
      </c>
      <c r="F145" s="100">
        <f t="shared" si="33"/>
        <v>0.30684005326394354</v>
      </c>
      <c r="G145" s="99">
        <f t="shared" si="34"/>
        <v>0.25945552116082643</v>
      </c>
      <c r="H145" s="100">
        <f t="shared" si="35"/>
        <v>1.0378220846433057</v>
      </c>
      <c r="I145" s="98">
        <f t="shared" si="28"/>
        <v>4.518911042321653</v>
      </c>
      <c r="J145" s="98">
        <f t="shared" si="29"/>
        <v>0.22966198602354215</v>
      </c>
      <c r="K145" s="100">
        <f t="shared" si="36"/>
        <v>0.96355629235207019</v>
      </c>
      <c r="L145" s="100">
        <f t="shared" si="26"/>
        <v>4.7321138049503983E-2</v>
      </c>
      <c r="M145" s="100">
        <f t="shared" si="37"/>
        <v>1.5453516775514558E-3</v>
      </c>
      <c r="N145" s="151">
        <f t="shared" si="38"/>
        <v>0.63522735736911584</v>
      </c>
      <c r="P145" s="97">
        <v>0.18538318385384195</v>
      </c>
      <c r="Q145" s="141">
        <f t="shared" si="30"/>
        <v>0.28801432746393918</v>
      </c>
    </row>
    <row r="146" spans="3:17" x14ac:dyDescent="0.25">
      <c r="C146" s="95">
        <f t="shared" si="27"/>
        <v>-27.599999999999934</v>
      </c>
      <c r="D146" s="95">
        <f t="shared" si="31"/>
        <v>2.7599999999999934E-2</v>
      </c>
      <c r="E146" s="99">
        <f t="shared" si="32"/>
        <v>1.0907033551029116E-4</v>
      </c>
      <c r="F146" s="100">
        <f t="shared" si="33"/>
        <v>0.30694912359945381</v>
      </c>
      <c r="G146" s="99">
        <f t="shared" si="34"/>
        <v>0.25962798554994981</v>
      </c>
      <c r="H146" s="100">
        <f t="shared" si="35"/>
        <v>1.0385119421997993</v>
      </c>
      <c r="I146" s="98">
        <f t="shared" si="28"/>
        <v>4.5192559710998994</v>
      </c>
      <c r="J146" s="98">
        <f t="shared" si="29"/>
        <v>0.22979710572734954</v>
      </c>
      <c r="K146" s="100">
        <f t="shared" si="36"/>
        <v>0.96291622596248394</v>
      </c>
      <c r="L146" s="100">
        <f t="shared" si="26"/>
        <v>4.7258290429247375E-2</v>
      </c>
      <c r="M146" s="100">
        <f t="shared" si="37"/>
        <v>1.5423918290767733E-3</v>
      </c>
      <c r="N146" s="151">
        <f t="shared" si="38"/>
        <v>0.6359538026754411</v>
      </c>
      <c r="P146" s="97">
        <v>0.18538318385384195</v>
      </c>
      <c r="Q146" s="141">
        <f t="shared" si="30"/>
        <v>0.28801432746393918</v>
      </c>
    </row>
    <row r="147" spans="3:17" x14ac:dyDescent="0.25">
      <c r="C147" s="95">
        <f t="shared" si="27"/>
        <v>-27.799999999999933</v>
      </c>
      <c r="D147" s="95">
        <f t="shared" si="31"/>
        <v>2.7799999999999932E-2</v>
      </c>
      <c r="E147" s="99">
        <f t="shared" si="32"/>
        <v>1.0847836581535467E-4</v>
      </c>
      <c r="F147" s="100">
        <f t="shared" si="33"/>
        <v>0.30705760196526916</v>
      </c>
      <c r="G147" s="99">
        <f t="shared" si="34"/>
        <v>0.25979931153602176</v>
      </c>
      <c r="H147" s="100">
        <f t="shared" si="35"/>
        <v>1.039197246144087</v>
      </c>
      <c r="I147" s="98">
        <f t="shared" si="28"/>
        <v>4.519598623072044</v>
      </c>
      <c r="J147" s="98">
        <f t="shared" si="29"/>
        <v>0.22993131311243031</v>
      </c>
      <c r="K147" s="100">
        <f t="shared" si="36"/>
        <v>0.96228122592748644</v>
      </c>
      <c r="L147" s="100">
        <f t="shared" si="26"/>
        <v>4.719598153784435E-2</v>
      </c>
      <c r="M147" s="100">
        <f t="shared" si="37"/>
        <v>1.5394591399595528E-3</v>
      </c>
      <c r="N147" s="151">
        <f t="shared" si="38"/>
        <v>0.63667354421529687</v>
      </c>
      <c r="P147" s="97">
        <v>0.18538318385384195</v>
      </c>
      <c r="Q147" s="141">
        <f t="shared" si="30"/>
        <v>0.28801432746393918</v>
      </c>
    </row>
    <row r="148" spans="3:17" x14ac:dyDescent="0.25">
      <c r="C148" s="95">
        <f t="shared" si="27"/>
        <v>-27.999999999999932</v>
      </c>
      <c r="D148" s="95">
        <f t="shared" si="31"/>
        <v>2.7999999999999935E-2</v>
      </c>
      <c r="E148" s="99">
        <f t="shared" si="32"/>
        <v>1.0789182799191056E-4</v>
      </c>
      <c r="F148" s="100">
        <f t="shared" si="33"/>
        <v>0.30716549379326108</v>
      </c>
      <c r="G148" s="99">
        <f t="shared" si="34"/>
        <v>0.25996951225541676</v>
      </c>
      <c r="H148" s="100">
        <f t="shared" si="35"/>
        <v>1.039878049021667</v>
      </c>
      <c r="I148" s="98">
        <f t="shared" si="28"/>
        <v>4.5199390245108333</v>
      </c>
      <c r="J148" s="98">
        <f t="shared" si="29"/>
        <v>0.23006461887706703</v>
      </c>
      <c r="K148" s="100">
        <f t="shared" si="36"/>
        <v>0.96165122529590374</v>
      </c>
      <c r="L148" s="100">
        <f t="shared" si="26"/>
        <v>4.7134203828395158E-2</v>
      </c>
      <c r="M148" s="100">
        <f t="shared" si="37"/>
        <v>1.5365532103041742E-3</v>
      </c>
      <c r="N148" s="151">
        <f t="shared" si="38"/>
        <v>0.63738668108061525</v>
      </c>
      <c r="P148" s="97">
        <v>0.18538318385384195</v>
      </c>
      <c r="Q148" s="141">
        <f t="shared" si="30"/>
        <v>0.28801432746393918</v>
      </c>
    </row>
    <row r="149" spans="3:17" x14ac:dyDescent="0.25">
      <c r="C149" s="95">
        <f t="shared" si="27"/>
        <v>-28.199999999999932</v>
      </c>
      <c r="D149" s="95">
        <f t="shared" si="31"/>
        <v>2.8199999999999933E-2</v>
      </c>
      <c r="E149" s="99">
        <f t="shared" si="32"/>
        <v>1.0731064206083484E-4</v>
      </c>
      <c r="F149" s="100">
        <f t="shared" si="33"/>
        <v>0.3072728044353219</v>
      </c>
      <c r="G149" s="99">
        <f t="shared" si="34"/>
        <v>0.26013860060692673</v>
      </c>
      <c r="H149" s="100">
        <f t="shared" si="35"/>
        <v>1.0405544024277069</v>
      </c>
      <c r="I149" s="98">
        <f t="shared" si="28"/>
        <v>4.5202772012138537</v>
      </c>
      <c r="J149" s="98">
        <f t="shared" si="29"/>
        <v>0.23019703352446647</v>
      </c>
      <c r="K149" s="100">
        <f t="shared" si="36"/>
        <v>0.96102615842757488</v>
      </c>
      <c r="L149" s="100">
        <f t="shared" si="26"/>
        <v>4.7072949907342621E-2</v>
      </c>
      <c r="M149" s="100">
        <f t="shared" si="37"/>
        <v>1.5336736486117493E-3</v>
      </c>
      <c r="N149" s="151">
        <f t="shared" si="38"/>
        <v>0.63809331027754279</v>
      </c>
      <c r="P149" s="97">
        <v>0.18538318385384195</v>
      </c>
      <c r="Q149" s="141">
        <f t="shared" si="30"/>
        <v>0.28801432746393918</v>
      </c>
    </row>
    <row r="150" spans="3:17" x14ac:dyDescent="0.25">
      <c r="C150" s="95">
        <f t="shared" si="27"/>
        <v>-28.399999999999931</v>
      </c>
      <c r="D150" s="95">
        <f t="shared" si="31"/>
        <v>2.8399999999999932E-2</v>
      </c>
      <c r="E150" s="99">
        <f t="shared" si="32"/>
        <v>1.0673472972234986E-4</v>
      </c>
      <c r="F150" s="100">
        <f t="shared" si="33"/>
        <v>0.30737953916504424</v>
      </c>
      <c r="G150" s="99">
        <f t="shared" si="34"/>
        <v>0.26030658925770161</v>
      </c>
      <c r="H150" s="100">
        <f t="shared" si="35"/>
        <v>1.0412263570308065</v>
      </c>
      <c r="I150" s="98">
        <f t="shared" si="28"/>
        <v>4.5206131785154033</v>
      </c>
      <c r="J150" s="98">
        <f t="shared" si="29"/>
        <v>0.23032856736765775</v>
      </c>
      <c r="K150" s="100">
        <f t="shared" si="36"/>
        <v>0.96040596095898989</v>
      </c>
      <c r="L150" s="100">
        <f t="shared" si="26"/>
        <v>4.7012212530354779E-2</v>
      </c>
      <c r="M150" s="100">
        <f t="shared" si="37"/>
        <v>1.5308200715495397E-3</v>
      </c>
      <c r="N150" s="151">
        <f t="shared" si="38"/>
        <v>0.63879352678381085</v>
      </c>
      <c r="P150" s="97">
        <v>0.18538318385384195</v>
      </c>
      <c r="Q150" s="141">
        <f t="shared" si="30"/>
        <v>0.28801432746393918</v>
      </c>
    </row>
    <row r="151" spans="3:17" x14ac:dyDescent="0.25">
      <c r="C151" s="95">
        <f t="shared" si="27"/>
        <v>-28.59999999999993</v>
      </c>
      <c r="D151" s="95">
        <f t="shared" si="31"/>
        <v>2.8599999999999931E-2</v>
      </c>
      <c r="E151" s="99">
        <f t="shared" si="32"/>
        <v>1.0616401430990795E-4</v>
      </c>
      <c r="F151" s="100">
        <f t="shared" si="33"/>
        <v>0.30748570317935414</v>
      </c>
      <c r="G151" s="99">
        <f t="shared" si="34"/>
        <v>0.26047349064899938</v>
      </c>
      <c r="H151" s="100">
        <f t="shared" si="35"/>
        <v>1.0418939625959975</v>
      </c>
      <c r="I151" s="98">
        <f t="shared" si="28"/>
        <v>4.5209469812979988</v>
      </c>
      <c r="J151" s="98">
        <f t="shared" si="29"/>
        <v>0.2304592305342324</v>
      </c>
      <c r="K151" s="100">
        <f t="shared" si="36"/>
        <v>0.95979056977006183</v>
      </c>
      <c r="L151" s="100">
        <f t="shared" si="26"/>
        <v>4.6951984598345563E-2</v>
      </c>
      <c r="M151" s="100">
        <f t="shared" si="37"/>
        <v>1.5279921037282334E-3</v>
      </c>
      <c r="N151" s="151">
        <f t="shared" si="38"/>
        <v>0.6394874236041499</v>
      </c>
      <c r="P151" s="97">
        <v>0.18538318385384195</v>
      </c>
      <c r="Q151" s="141">
        <f t="shared" si="30"/>
        <v>0.28801432746393918</v>
      </c>
    </row>
    <row r="152" spans="3:17" x14ac:dyDescent="0.25">
      <c r="C152" s="95">
        <f t="shared" si="27"/>
        <v>-28.79999999999993</v>
      </c>
      <c r="D152" s="95">
        <f t="shared" si="31"/>
        <v>2.879999999999993E-2</v>
      </c>
      <c r="E152" s="99">
        <f t="shared" si="32"/>
        <v>1.0559842074564668E-4</v>
      </c>
      <c r="F152" s="100">
        <f t="shared" si="33"/>
        <v>0.30759130160009979</v>
      </c>
      <c r="G152" s="99">
        <f t="shared" si="34"/>
        <v>0.26063931700175424</v>
      </c>
      <c r="H152" s="100">
        <f t="shared" si="35"/>
        <v>1.042557268007017</v>
      </c>
      <c r="I152" s="98">
        <f t="shared" si="28"/>
        <v>4.521278634003508</v>
      </c>
      <c r="J152" s="98">
        <f t="shared" si="29"/>
        <v>0.23058903297093458</v>
      </c>
      <c r="K152" s="100">
        <f t="shared" si="36"/>
        <v>0.95917992295198262</v>
      </c>
      <c r="L152" s="100">
        <f t="shared" si="26"/>
        <v>4.6892259153627484E-2</v>
      </c>
      <c r="M152" s="100">
        <f t="shared" si="37"/>
        <v>1.5251893774867271E-3</v>
      </c>
      <c r="N152" s="151">
        <f t="shared" si="38"/>
        <v>0.64017509182383359</v>
      </c>
      <c r="P152" s="97">
        <v>0.18538318385384195</v>
      </c>
      <c r="Q152" s="141">
        <f t="shared" si="30"/>
        <v>0.28801432746393918</v>
      </c>
    </row>
    <row r="153" spans="3:17" x14ac:dyDescent="0.25">
      <c r="C153" s="95">
        <f t="shared" si="27"/>
        <v>-28.999999999999929</v>
      </c>
      <c r="D153" s="95">
        <f t="shared" si="31"/>
        <v>2.8999999999999929E-2</v>
      </c>
      <c r="E153" s="99">
        <f t="shared" si="32"/>
        <v>1.0503787549734543E-4</v>
      </c>
      <c r="F153" s="100">
        <f t="shared" si="33"/>
        <v>0.30769633947559716</v>
      </c>
      <c r="G153" s="99">
        <f t="shared" si="34"/>
        <v>0.26080408032196967</v>
      </c>
      <c r="H153" s="100">
        <f t="shared" si="35"/>
        <v>1.0432163212878787</v>
      </c>
      <c r="I153" s="98">
        <f t="shared" si="28"/>
        <v>4.5216081606439396</v>
      </c>
      <c r="J153" s="98">
        <f t="shared" si="29"/>
        <v>0.23071798444810623</v>
      </c>
      <c r="K153" s="100">
        <f t="shared" si="36"/>
        <v>0.95857395977612103</v>
      </c>
      <c r="L153" s="100">
        <f t="shared" si="26"/>
        <v>4.6833029376191257E-2</v>
      </c>
      <c r="M153" s="100">
        <f t="shared" si="37"/>
        <v>1.5224115326841288E-3</v>
      </c>
      <c r="N153" s="151">
        <f t="shared" si="38"/>
        <v>0.64085662066042359</v>
      </c>
      <c r="P153" s="97">
        <v>0.18538318385384195</v>
      </c>
      <c r="Q153" s="141">
        <f t="shared" si="30"/>
        <v>0.28801432746393918</v>
      </c>
    </row>
    <row r="154" spans="3:17" x14ac:dyDescent="0.25">
      <c r="C154" s="95">
        <f t="shared" si="27"/>
        <v>-29.199999999999928</v>
      </c>
      <c r="D154" s="95">
        <f t="shared" si="31"/>
        <v>2.9199999999999927E-2</v>
      </c>
      <c r="E154" s="99">
        <f t="shared" si="32"/>
        <v>1.0448230653682576E-4</v>
      </c>
      <c r="F154" s="100">
        <f t="shared" si="33"/>
        <v>0.30780082178213397</v>
      </c>
      <c r="G154" s="99">
        <f t="shared" si="34"/>
        <v>0.2609677924059427</v>
      </c>
      <c r="H154" s="100">
        <f t="shared" si="35"/>
        <v>1.0438711696237708</v>
      </c>
      <c r="I154" s="98">
        <f t="shared" si="28"/>
        <v>4.5219355848118852</v>
      </c>
      <c r="J154" s="98">
        <f t="shared" si="29"/>
        <v>0.2308460945639933</v>
      </c>
      <c r="K154" s="100">
        <f t="shared" si="36"/>
        <v>0.95797262066392475</v>
      </c>
      <c r="L154" s="100">
        <f t="shared" si="26"/>
        <v>4.6774288580107432E-2</v>
      </c>
      <c r="M154" s="100">
        <f t="shared" si="37"/>
        <v>1.5196582164986889E-3</v>
      </c>
      <c r="N154" s="151">
        <f t="shared" si="38"/>
        <v>0.64153209751379037</v>
      </c>
      <c r="P154" s="97">
        <v>0.18538318385384195</v>
      </c>
      <c r="Q154" s="141">
        <f t="shared" si="30"/>
        <v>0.28801432746393918</v>
      </c>
    </row>
    <row r="155" spans="3:17" x14ac:dyDescent="0.25">
      <c r="C155" s="95">
        <f t="shared" si="27"/>
        <v>-29.399999999999928</v>
      </c>
      <c r="D155" s="95">
        <f t="shared" si="31"/>
        <v>2.939999999999993E-2</v>
      </c>
      <c r="E155" s="99">
        <f t="shared" si="32"/>
        <v>1.0393164329973778E-4</v>
      </c>
      <c r="F155" s="100">
        <f t="shared" si="33"/>
        <v>0.30790475342543372</v>
      </c>
      <c r="G155" s="99">
        <f t="shared" si="34"/>
        <v>0.26113046484532632</v>
      </c>
      <c r="H155" s="100">
        <f t="shared" si="35"/>
        <v>1.0445218593813053</v>
      </c>
      <c r="I155" s="98">
        <f t="shared" si="28"/>
        <v>4.5222609296906526</v>
      </c>
      <c r="J155" s="98">
        <f t="shared" si="29"/>
        <v>0.23097337274891749</v>
      </c>
      <c r="K155" s="100">
        <f t="shared" si="36"/>
        <v>0.95737584715778323</v>
      </c>
      <c r="L155" s="100">
        <f t="shared" si="26"/>
        <v>4.6716030210045008E-2</v>
      </c>
      <c r="M155" s="100">
        <f t="shared" si="37"/>
        <v>1.5169290832333818E-3</v>
      </c>
      <c r="N155" s="151">
        <f t="shared" si="38"/>
        <v>0.64220160801447657</v>
      </c>
      <c r="P155" s="97">
        <v>0.18538318385384195</v>
      </c>
      <c r="Q155" s="141">
        <f t="shared" si="30"/>
        <v>0.28801432746393918</v>
      </c>
    </row>
    <row r="156" spans="3:17" x14ac:dyDescent="0.25">
      <c r="C156" s="95">
        <f t="shared" si="27"/>
        <v>-29.599999999999927</v>
      </c>
      <c r="D156" s="95">
        <f t="shared" si="31"/>
        <v>2.9599999999999928E-2</v>
      </c>
      <c r="E156" s="99">
        <f t="shared" si="32"/>
        <v>1.0338581664667635E-4</v>
      </c>
      <c r="F156" s="100">
        <f t="shared" si="33"/>
        <v>0.30800813924208037</v>
      </c>
      <c r="G156" s="99">
        <f t="shared" si="34"/>
        <v>0.26129210903203537</v>
      </c>
      <c r="H156" s="100">
        <f t="shared" si="35"/>
        <v>1.0451684361281415</v>
      </c>
      <c r="I156" s="98">
        <f t="shared" si="28"/>
        <v>4.522584218064071</v>
      </c>
      <c r="J156" s="98">
        <f t="shared" si="29"/>
        <v>0.23109982826931952</v>
      </c>
      <c r="K156" s="100">
        <f t="shared" si="36"/>
        <v>0.95678358189281976</v>
      </c>
      <c r="L156" s="100">
        <f t="shared" si="26"/>
        <v>4.6658247837902858E-2</v>
      </c>
      <c r="M156" s="100">
        <f t="shared" si="37"/>
        <v>1.514223794127884E-3</v>
      </c>
      <c r="N156" s="151">
        <f t="shared" si="38"/>
        <v>0.64286523607046708</v>
      </c>
      <c r="P156" s="97">
        <v>0.18538318385384195</v>
      </c>
      <c r="Q156" s="141">
        <f t="shared" si="30"/>
        <v>0.28801432746393918</v>
      </c>
    </row>
    <row r="157" spans="3:17" x14ac:dyDescent="0.25">
      <c r="C157" s="95">
        <f t="shared" si="27"/>
        <v>-29.799999999999926</v>
      </c>
      <c r="D157" s="95">
        <f t="shared" si="31"/>
        <v>2.9799999999999927E-2</v>
      </c>
      <c r="E157" s="99">
        <f t="shared" si="32"/>
        <v>1.028447588255768E-4</v>
      </c>
      <c r="F157" s="100">
        <f t="shared" si="33"/>
        <v>0.30811098400090597</v>
      </c>
      <c r="G157" s="99">
        <f t="shared" si="34"/>
        <v>0.26145273616300313</v>
      </c>
      <c r="H157" s="100">
        <f t="shared" si="35"/>
        <v>1.0458109446520125</v>
      </c>
      <c r="I157" s="98">
        <f t="shared" si="28"/>
        <v>4.5229054723260065</v>
      </c>
      <c r="J157" s="98">
        <f t="shared" si="29"/>
        <v>0.23122547023167844</v>
      </c>
      <c r="K157" s="100">
        <f t="shared" si="36"/>
        <v>0.95619576856957078</v>
      </c>
      <c r="L157" s="100">
        <f t="shared" si="26"/>
        <v>4.6600935159549037E-2</v>
      </c>
      <c r="M157" s="100">
        <f t="shared" si="37"/>
        <v>1.5115420171766807E-3</v>
      </c>
      <c r="N157" s="151">
        <f t="shared" si="38"/>
        <v>0.64352306391243408</v>
      </c>
      <c r="P157" s="97">
        <v>0.18538318385384195</v>
      </c>
      <c r="Q157" s="141">
        <f t="shared" si="30"/>
        <v>0.28801432746393918</v>
      </c>
    </row>
    <row r="158" spans="3:17" x14ac:dyDescent="0.25">
      <c r="C158" s="95">
        <f t="shared" si="27"/>
        <v>-29.999999999999925</v>
      </c>
      <c r="D158" s="95">
        <f t="shared" si="31"/>
        <v>2.9999999999999926E-2</v>
      </c>
      <c r="E158" s="99">
        <f t="shared" si="32"/>
        <v>1.0230840343533615E-4</v>
      </c>
      <c r="F158" s="100">
        <f t="shared" si="33"/>
        <v>0.30821329240434131</v>
      </c>
      <c r="G158" s="99">
        <f t="shared" si="34"/>
        <v>0.26161235724479226</v>
      </c>
      <c r="H158" s="100">
        <f t="shared" si="35"/>
        <v>1.046449428979169</v>
      </c>
      <c r="I158" s="98">
        <f t="shared" si="28"/>
        <v>4.5232247144895847</v>
      </c>
      <c r="J158" s="98">
        <f t="shared" si="29"/>
        <v>0.23135030758631098</v>
      </c>
      <c r="K158" s="100">
        <f t="shared" si="36"/>
        <v>0.95561235192752569</v>
      </c>
      <c r="L158" s="100">
        <f t="shared" si="26"/>
        <v>4.6544085991664486E-2</v>
      </c>
      <c r="M158" s="100">
        <f t="shared" si="37"/>
        <v>1.5088834269530867E-3</v>
      </c>
      <c r="N158" s="151">
        <f t="shared" si="38"/>
        <v>0.64417517213750797</v>
      </c>
      <c r="P158" s="97">
        <v>0.18538318385384195</v>
      </c>
      <c r="Q158" s="141">
        <f t="shared" si="30"/>
        <v>0.28801432746393918</v>
      </c>
    </row>
    <row r="159" spans="3:17" x14ac:dyDescent="0.25">
      <c r="C159" s="95">
        <f t="shared" si="27"/>
        <v>-30.199999999999925</v>
      </c>
      <c r="D159" s="95">
        <f t="shared" si="31"/>
        <v>3.0199999999999925E-2</v>
      </c>
      <c r="E159" s="99">
        <f t="shared" si="32"/>
        <v>1.0177668539061734E-4</v>
      </c>
      <c r="F159" s="100">
        <f t="shared" si="33"/>
        <v>0.30831506908973194</v>
      </c>
      <c r="G159" s="99">
        <f t="shared" si="34"/>
        <v>0.26177098309806746</v>
      </c>
      <c r="H159" s="100">
        <f t="shared" si="35"/>
        <v>1.0470839323922698</v>
      </c>
      <c r="I159" s="98">
        <f t="shared" si="28"/>
        <v>4.5235419661961345</v>
      </c>
      <c r="J159" s="98">
        <f t="shared" si="29"/>
        <v>0.23147434913105649</v>
      </c>
      <c r="K159" s="100">
        <f t="shared" si="36"/>
        <v>0.95503327771948776</v>
      </c>
      <c r="L159" s="100">
        <f t="shared" si="26"/>
        <v>4.6487694268686451E-2</v>
      </c>
      <c r="M159" s="100">
        <f t="shared" si="37"/>
        <v>1.5062477044389261E-3</v>
      </c>
      <c r="N159" s="151">
        <f t="shared" si="38"/>
        <v>0.64482163975163942</v>
      </c>
      <c r="P159" s="97">
        <v>0.18538318385384195</v>
      </c>
      <c r="Q159" s="141">
        <f t="shared" si="30"/>
        <v>0.28801432746393918</v>
      </c>
    </row>
    <row r="160" spans="3:17" x14ac:dyDescent="0.25">
      <c r="C160" s="95">
        <f t="shared" si="27"/>
        <v>-30.399999999999924</v>
      </c>
      <c r="D160" s="95">
        <f t="shared" si="31"/>
        <v>3.0399999999999924E-2</v>
      </c>
      <c r="E160" s="99">
        <f t="shared" si="32"/>
        <v>1.0124954088778522E-4</v>
      </c>
      <c r="F160" s="100">
        <f t="shared" si="33"/>
        <v>0.30841631863061975</v>
      </c>
      <c r="G160" s="99">
        <f t="shared" si="34"/>
        <v>0.26192862436193332</v>
      </c>
      <c r="H160" s="100">
        <f t="shared" si="35"/>
        <v>1.0477144974477333</v>
      </c>
      <c r="I160" s="98">
        <f t="shared" si="28"/>
        <v>4.5238572487238669</v>
      </c>
      <c r="J160" s="98">
        <f t="shared" si="29"/>
        <v>0.23159760351485065</v>
      </c>
      <c r="K160" s="100">
        <f t="shared" si="36"/>
        <v>0.95445849268673166</v>
      </c>
      <c r="L160" s="100">
        <f t="shared" si="26"/>
        <v>4.6431754039848512E-2</v>
      </c>
      <c r="M160" s="100">
        <f t="shared" si="37"/>
        <v>1.5036345368596782E-3</v>
      </c>
      <c r="N160" s="151">
        <f t="shared" si="38"/>
        <v>0.64546254421060101</v>
      </c>
      <c r="P160" s="97">
        <v>0.18538318385384195</v>
      </c>
      <c r="Q160" s="141">
        <f t="shared" si="30"/>
        <v>0.28801432746393918</v>
      </c>
    </row>
    <row r="161" spans="3:17" x14ac:dyDescent="0.25">
      <c r="C161" s="95">
        <f t="shared" si="27"/>
        <v>-30.599999999999923</v>
      </c>
      <c r="D161" s="95">
        <f t="shared" si="31"/>
        <v>3.0599999999999922E-2</v>
      </c>
      <c r="E161" s="99">
        <f t="shared" si="32"/>
        <v>1.0072690737193566E-4</v>
      </c>
      <c r="F161" s="100">
        <f t="shared" si="33"/>
        <v>0.3085170455379917</v>
      </c>
      <c r="G161" s="99">
        <f t="shared" si="34"/>
        <v>0.26208529149814319</v>
      </c>
      <c r="H161" s="100">
        <f t="shared" si="35"/>
        <v>1.0483411659925728</v>
      </c>
      <c r="I161" s="98">
        <f t="shared" si="28"/>
        <v>4.5241705829962866</v>
      </c>
      <c r="J161" s="98">
        <f t="shared" si="29"/>
        <v>0.23172007924119276</v>
      </c>
      <c r="K161" s="100">
        <f t="shared" si="36"/>
        <v>0.9538879445349232</v>
      </c>
      <c r="L161" s="100">
        <f t="shared" si="26"/>
        <v>4.6376259466312984E-2</v>
      </c>
      <c r="M161" s="100">
        <f t="shared" si="37"/>
        <v>1.5010436175248608E-3</v>
      </c>
      <c r="N161" s="151">
        <f t="shared" si="38"/>
        <v>0.64609796145968346</v>
      </c>
      <c r="P161" s="97">
        <v>0.18538318385384195</v>
      </c>
      <c r="Q161" s="141">
        <f t="shared" si="30"/>
        <v>0.28801432746393918</v>
      </c>
    </row>
    <row r="162" spans="3:17" x14ac:dyDescent="0.25">
      <c r="C162" s="95">
        <f t="shared" si="27"/>
        <v>-30.799999999999923</v>
      </c>
      <c r="D162" s="95">
        <f t="shared" si="31"/>
        <v>3.0799999999999925E-2</v>
      </c>
      <c r="E162" s="99">
        <f t="shared" si="32"/>
        <v>1.0020872350497215E-4</v>
      </c>
      <c r="F162" s="100">
        <f t="shared" si="33"/>
        <v>0.30861725426149667</v>
      </c>
      <c r="G162" s="99">
        <f t="shared" si="34"/>
        <v>0.2622409947951837</v>
      </c>
      <c r="H162" s="100">
        <f t="shared" si="35"/>
        <v>1.0489639791807348</v>
      </c>
      <c r="I162" s="98">
        <f t="shared" si="28"/>
        <v>4.5244819895903676</v>
      </c>
      <c r="J162" s="98">
        <f t="shared" si="29"/>
        <v>0.23184178467150993</v>
      </c>
      <c r="K162" s="100">
        <f t="shared" si="36"/>
        <v>0.95332158191077565</v>
      </c>
      <c r="L162" s="100">
        <f t="shared" si="26"/>
        <v>4.6321204818392643E-2</v>
      </c>
      <c r="M162" s="100">
        <f t="shared" si="37"/>
        <v>1.4984746456734659E-3</v>
      </c>
      <c r="N162" s="151">
        <f t="shared" si="38"/>
        <v>0.64672796597213511</v>
      </c>
      <c r="P162" s="97">
        <v>0.18538318385384195</v>
      </c>
      <c r="Q162" s="141">
        <f t="shared" si="30"/>
        <v>0.28801432746393918</v>
      </c>
    </row>
    <row r="163" spans="3:17" x14ac:dyDescent="0.25">
      <c r="C163" s="95">
        <f t="shared" si="27"/>
        <v>-30.999999999999922</v>
      </c>
      <c r="D163" s="95">
        <f t="shared" si="31"/>
        <v>3.0999999999999923E-2</v>
      </c>
      <c r="E163" s="99">
        <f t="shared" si="32"/>
        <v>9.9694929134693186E-5</v>
      </c>
      <c r="F163" s="100">
        <f t="shared" si="33"/>
        <v>0.30871694919063136</v>
      </c>
      <c r="G163" s="99">
        <f t="shared" si="34"/>
        <v>0.26239574437223873</v>
      </c>
      <c r="H163" s="100">
        <f t="shared" si="35"/>
        <v>1.0495829774889549</v>
      </c>
      <c r="I163" s="98">
        <f t="shared" si="28"/>
        <v>4.5247914887444773</v>
      </c>
      <c r="J163" s="98">
        <f t="shared" si="29"/>
        <v>0.23196272802842222</v>
      </c>
      <c r="K163" s="100">
        <f t="shared" si="36"/>
        <v>0.95275935437941428</v>
      </c>
      <c r="L163" s="100">
        <f t="shared" si="26"/>
        <v>4.6266584472858224E-2</v>
      </c>
      <c r="M163" s="100">
        <f t="shared" si="37"/>
        <v>1.4959273263242493E-3</v>
      </c>
      <c r="N163" s="151">
        <f t="shared" si="38"/>
        <v>0.64735263078639171</v>
      </c>
      <c r="P163" s="97">
        <v>0.18538318385384195</v>
      </c>
      <c r="Q163" s="141">
        <f t="shared" si="30"/>
        <v>0.28801432746393918</v>
      </c>
    </row>
    <row r="164" spans="3:17" x14ac:dyDescent="0.25">
      <c r="C164" s="95">
        <f t="shared" si="27"/>
        <v>-31.199999999999921</v>
      </c>
      <c r="D164" s="95">
        <f t="shared" si="31"/>
        <v>3.1199999999999922E-2</v>
      </c>
      <c r="E164" s="99">
        <f t="shared" si="32"/>
        <v>9.9185465264849861E-5</v>
      </c>
      <c r="F164" s="100">
        <f t="shared" si="33"/>
        <v>0.30881613465589619</v>
      </c>
      <c r="G164" s="99">
        <f t="shared" si="34"/>
        <v>0.26254955018303794</v>
      </c>
      <c r="H164" s="100">
        <f t="shared" si="35"/>
        <v>1.0501982007321518</v>
      </c>
      <c r="I164" s="98">
        <f t="shared" si="28"/>
        <v>4.5250991003660754</v>
      </c>
      <c r="J164" s="98">
        <f t="shared" si="29"/>
        <v>0.23208291739891218</v>
      </c>
      <c r="K164" s="100">
        <f t="shared" si="36"/>
        <v>0.95220121240242483</v>
      </c>
      <c r="L164" s="100">
        <f t="shared" si="26"/>
        <v>4.621239291032863E-2</v>
      </c>
      <c r="M164" s="100">
        <f t="shared" si="37"/>
        <v>1.4934013701306964E-3</v>
      </c>
      <c r="N164" s="151">
        <f t="shared" si="38"/>
        <v>0.647972027542143</v>
      </c>
      <c r="P164" s="97">
        <v>0.18538318385384195</v>
      </c>
      <c r="Q164" s="141">
        <f t="shared" si="30"/>
        <v>0.28801432746393918</v>
      </c>
    </row>
    <row r="165" spans="3:17" x14ac:dyDescent="0.25">
      <c r="C165" s="95">
        <f t="shared" si="27"/>
        <v>-31.39999999999992</v>
      </c>
      <c r="D165" s="95">
        <f t="shared" si="31"/>
        <v>3.1399999999999921E-2</v>
      </c>
      <c r="E165" s="99">
        <f t="shared" si="32"/>
        <v>9.8680274026139274E-5</v>
      </c>
      <c r="F165" s="100">
        <f t="shared" si="33"/>
        <v>0.30891481492992234</v>
      </c>
      <c r="G165" s="99">
        <f t="shared" si="34"/>
        <v>0.26270242201959371</v>
      </c>
      <c r="H165" s="100">
        <f t="shared" si="35"/>
        <v>1.0508096880783748</v>
      </c>
      <c r="I165" s="98">
        <f t="shared" si="28"/>
        <v>4.525404844039187</v>
      </c>
      <c r="J165" s="98">
        <f t="shared" si="29"/>
        <v>0.23220236073740225</v>
      </c>
      <c r="K165" s="100">
        <f t="shared" si="36"/>
        <v>0.95164710731655799</v>
      </c>
      <c r="L165" s="100">
        <f t="shared" si="26"/>
        <v>4.6158624712740695E-2</v>
      </c>
      <c r="M165" s="100">
        <f t="shared" si="37"/>
        <v>1.4908964932404856E-3</v>
      </c>
      <c r="N165" s="151">
        <f t="shared" si="38"/>
        <v>0.64858622651527786</v>
      </c>
      <c r="P165" s="97">
        <v>0.18538318385384195</v>
      </c>
      <c r="Q165" s="141">
        <f t="shared" si="30"/>
        <v>0.28801432746393918</v>
      </c>
    </row>
    <row r="166" spans="3:17" x14ac:dyDescent="0.25">
      <c r="C166" s="95">
        <f t="shared" si="27"/>
        <v>-31.59999999999992</v>
      </c>
      <c r="D166" s="95">
        <f t="shared" si="31"/>
        <v>3.159999999999992E-2</v>
      </c>
      <c r="E166" s="99">
        <f t="shared" si="32"/>
        <v>9.817929864809712E-5</v>
      </c>
      <c r="F166" s="100">
        <f t="shared" si="33"/>
        <v>0.30901299422857043</v>
      </c>
      <c r="G166" s="99">
        <f t="shared" si="34"/>
        <v>0.26285436951582974</v>
      </c>
      <c r="H166" s="100">
        <f t="shared" si="35"/>
        <v>1.051417478063319</v>
      </c>
      <c r="I166" s="98">
        <f t="shared" si="28"/>
        <v>4.5257087390316597</v>
      </c>
      <c r="J166" s="98">
        <f t="shared" si="29"/>
        <v>0.23232106586874277</v>
      </c>
      <c r="K166" s="100">
        <f t="shared" si="36"/>
        <v>0.95109699131307146</v>
      </c>
      <c r="L166" s="100">
        <f t="shared" si="26"/>
        <v>4.6105274560895852E-2</v>
      </c>
      <c r="M166" s="100">
        <f t="shared" si="37"/>
        <v>1.4884124171592936E-3</v>
      </c>
      <c r="N166" s="151">
        <f t="shared" si="38"/>
        <v>0.64919529665175091</v>
      </c>
      <c r="P166" s="97">
        <v>0.18538318385384195</v>
      </c>
      <c r="Q166" s="141">
        <f t="shared" si="30"/>
        <v>0.28801432746393918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04EAA-242A-4268-921F-2198AA47D700}">
  <dimension ref="A1:V137"/>
  <sheetViews>
    <sheetView workbookViewId="0">
      <selection activeCell="F12" sqref="F12"/>
    </sheetView>
  </sheetViews>
  <sheetFormatPr defaultRowHeight="13.2" x14ac:dyDescent="0.25"/>
  <cols>
    <col min="1" max="1" width="10.6640625" customWidth="1"/>
    <col min="2" max="2" width="9.44140625" customWidth="1"/>
    <col min="13" max="13" width="11.44140625" customWidth="1"/>
    <col min="15" max="16" width="11.109375" customWidth="1"/>
    <col min="17" max="17" width="9.44140625" bestFit="1" customWidth="1"/>
  </cols>
  <sheetData>
    <row r="1" spans="1:21" x14ac:dyDescent="0.25">
      <c r="B1" s="31" t="s">
        <v>44</v>
      </c>
      <c r="C1" s="31"/>
      <c r="D1" s="32"/>
      <c r="E1" s="32"/>
      <c r="F1" s="31"/>
      <c r="G1" s="31"/>
      <c r="H1" s="31"/>
      <c r="J1" s="136" t="s">
        <v>31</v>
      </c>
      <c r="K1" s="136"/>
      <c r="L1" s="136" t="s">
        <v>30</v>
      </c>
      <c r="M1" s="137"/>
      <c r="R1" s="10"/>
    </row>
    <row r="2" spans="1:21" x14ac:dyDescent="0.25">
      <c r="B2" s="14" t="s">
        <v>136</v>
      </c>
    </row>
    <row r="3" spans="1:21" x14ac:dyDescent="0.25">
      <c r="B3" s="31"/>
      <c r="C3" s="31"/>
      <c r="D3" s="32"/>
      <c r="E3" s="32"/>
      <c r="F3" s="31"/>
      <c r="G3" s="31"/>
      <c r="H3" s="31"/>
      <c r="M3" s="2"/>
    </row>
    <row r="4" spans="1:21" x14ac:dyDescent="0.25">
      <c r="B4" s="31"/>
      <c r="C4" s="31"/>
      <c r="D4" s="32"/>
      <c r="E4" s="32"/>
      <c r="F4" s="31"/>
      <c r="G4" s="31"/>
      <c r="H4" s="31"/>
      <c r="M4" s="2"/>
      <c r="R4" s="10"/>
    </row>
    <row r="5" spans="1:21" x14ac:dyDescent="0.25">
      <c r="B5" s="31"/>
      <c r="C5" s="31"/>
      <c r="D5" s="32"/>
      <c r="E5" s="32"/>
      <c r="F5" s="31"/>
      <c r="G5" s="31"/>
      <c r="H5" s="31"/>
      <c r="M5" s="2"/>
      <c r="R5" s="10"/>
    </row>
    <row r="6" spans="1:21" x14ac:dyDescent="0.25">
      <c r="B6" s="31"/>
      <c r="C6" s="31"/>
      <c r="D6" s="32"/>
      <c r="E6" s="32"/>
      <c r="F6" s="31"/>
      <c r="G6" s="31"/>
      <c r="H6" s="31"/>
      <c r="M6" s="2"/>
      <c r="R6" s="10"/>
    </row>
    <row r="7" spans="1:21" x14ac:dyDescent="0.25">
      <c r="B7" s="31"/>
      <c r="C7" s="31"/>
      <c r="D7" s="32"/>
      <c r="E7" s="32"/>
      <c r="F7" s="31"/>
      <c r="G7" s="31"/>
      <c r="H7" s="31"/>
      <c r="M7" s="2"/>
      <c r="R7" s="10"/>
    </row>
    <row r="8" spans="1:21" x14ac:dyDescent="0.25">
      <c r="D8" s="10"/>
      <c r="E8" s="19" t="s">
        <v>28</v>
      </c>
      <c r="F8" s="20"/>
      <c r="G8" s="20"/>
      <c r="H8" s="20"/>
      <c r="I8" s="20"/>
      <c r="R8" s="10"/>
    </row>
    <row r="9" spans="1:21" x14ac:dyDescent="0.25">
      <c r="D9" s="10"/>
      <c r="E9" s="10"/>
      <c r="M9" s="2"/>
      <c r="R9" s="10"/>
    </row>
    <row r="10" spans="1:21" x14ac:dyDescent="0.25">
      <c r="A10" s="131" t="s">
        <v>2</v>
      </c>
      <c r="B10" s="131">
        <v>5</v>
      </c>
      <c r="C10" t="s">
        <v>4</v>
      </c>
      <c r="D10" s="10" t="s">
        <v>3</v>
      </c>
      <c r="E10" s="10" t="s">
        <v>12</v>
      </c>
      <c r="F10" t="s">
        <v>6</v>
      </c>
      <c r="G10" s="14" t="s">
        <v>126</v>
      </c>
      <c r="H10" s="14" t="s">
        <v>135</v>
      </c>
      <c r="I10" t="s">
        <v>8</v>
      </c>
      <c r="J10" t="s">
        <v>9</v>
      </c>
      <c r="K10" t="s">
        <v>5</v>
      </c>
      <c r="L10" t="s">
        <v>10</v>
      </c>
      <c r="M10" s="2" t="s">
        <v>13</v>
      </c>
      <c r="N10" t="s">
        <v>14</v>
      </c>
      <c r="O10" s="14" t="s">
        <v>79</v>
      </c>
      <c r="P10" t="s">
        <v>41</v>
      </c>
      <c r="Q10" t="s">
        <v>81</v>
      </c>
      <c r="R10" s="10"/>
    </row>
    <row r="11" spans="1:21" x14ac:dyDescent="0.25">
      <c r="B11" s="20"/>
      <c r="C11" s="3">
        <v>0</v>
      </c>
      <c r="D11" s="11">
        <v>0</v>
      </c>
      <c r="E11" s="10">
        <f>$F11+K11</f>
        <v>0.38415773033573619</v>
      </c>
      <c r="F11" s="145">
        <v>0.23</v>
      </c>
      <c r="G11" s="40">
        <f>$B$10*F11</f>
        <v>1.1500000000000001</v>
      </c>
      <c r="H11">
        <f>($B$10+2*E11)</f>
        <v>5.7683154606714719</v>
      </c>
      <c r="I11">
        <f>G11/H11</f>
        <v>0.1993649632792677</v>
      </c>
      <c r="J11">
        <f>$B$13/(G11)</f>
        <v>1.7391304347826084</v>
      </c>
      <c r="K11">
        <f>J11^2/(2*9.81)</f>
        <v>0.15415773033573621</v>
      </c>
      <c r="L11">
        <f>$B$16*K11/(4*I11)</f>
        <v>5.7993288213759823E-3</v>
      </c>
      <c r="M11" s="15" t="s">
        <v>79</v>
      </c>
      <c r="N11">
        <f>1-$B$10*$B$13^2/(G11^3*9.81)</f>
        <v>-0.34050200291944543</v>
      </c>
      <c r="O11" s="15" t="s">
        <v>79</v>
      </c>
      <c r="P11" s="104">
        <f>($B$13^2/($B$10^2*9.81))^(1/3)</f>
        <v>0.25360062824673085</v>
      </c>
      <c r="Q11" s="138">
        <f>($B$16*$B$13^2/(8*9.81*$B$10^2*$B$14))^(1/3)</f>
        <v>0.18287769855926819</v>
      </c>
      <c r="R11" s="10"/>
      <c r="S11" s="10"/>
      <c r="T11" s="10"/>
    </row>
    <row r="12" spans="1:21" x14ac:dyDescent="0.25">
      <c r="B12" s="20"/>
      <c r="C12" s="1">
        <f t="shared" ref="C12:C75" si="0">C11+$B$19</f>
        <v>0.5</v>
      </c>
      <c r="D12" s="10"/>
      <c r="E12" s="10">
        <f>$F12+K12</f>
        <v>0.38660300825058347</v>
      </c>
      <c r="F12" s="105">
        <f>F11+($B$19*($B$14-L11)/N11)</f>
        <v>0.22383164982495302</v>
      </c>
      <c r="G12" s="40">
        <f t="shared" ref="G12:G75" si="1">$B$10*F12</f>
        <v>1.1191582491247651</v>
      </c>
      <c r="H12">
        <f t="shared" ref="H12:H56" si="2">($B$10+2*E12)</f>
        <v>5.7732060165011667</v>
      </c>
      <c r="I12">
        <f t="shared" ref="I12:I56" si="3">G12/H12</f>
        <v>0.1938538562327328</v>
      </c>
      <c r="J12">
        <f t="shared" ref="J12:J56" si="4">$B$13/(G12)</f>
        <v>1.7870573724172565</v>
      </c>
      <c r="K12">
        <f t="shared" ref="K12:K56" si="5">J12^2/(2*9.81)</f>
        <v>0.16277135842563042</v>
      </c>
      <c r="L12">
        <f t="shared" ref="L12:L56" si="6">$B$16*K12/(4*I12)</f>
        <v>6.2974511413722133E-3</v>
      </c>
      <c r="M12" s="15" t="s">
        <v>79</v>
      </c>
      <c r="N12">
        <f t="shared" ref="N12:N56" si="7">1-$B$10*$B$13^2/(G12^3*9.81)</f>
        <v>-0.45440878046447253</v>
      </c>
      <c r="O12" s="2"/>
      <c r="P12" s="104">
        <f t="shared" ref="P12:P75" si="8">($B$13^2/($B$10^2*9.81))^(1/3)</f>
        <v>0.25360062824673085</v>
      </c>
      <c r="Q12" s="138">
        <f t="shared" ref="Q12:Q75" si="9">($B$16*$B$13^2/(8*9.81*$B$10^2*$B$14))^(1/3)</f>
        <v>0.18287769855926819</v>
      </c>
      <c r="R12" s="10"/>
      <c r="S12" s="10" t="s">
        <v>6</v>
      </c>
      <c r="T12" s="10"/>
    </row>
    <row r="13" spans="1:21" x14ac:dyDescent="0.25">
      <c r="A13" s="3" t="s">
        <v>1</v>
      </c>
      <c r="B13" s="131">
        <v>2</v>
      </c>
      <c r="C13" s="1">
        <f t="shared" si="0"/>
        <v>1</v>
      </c>
      <c r="D13" s="10"/>
      <c r="E13" s="10">
        <f t="shared" ref="E13:E56" si="10">$F13+K13</f>
        <v>0.38862007235342588</v>
      </c>
      <c r="F13" s="105">
        <f t="shared" ref="F13:F56" si="11">F12+($B$19*($B$14-L12)/N12)</f>
        <v>0.21975762108936914</v>
      </c>
      <c r="G13" s="40">
        <f t="shared" si="1"/>
        <v>1.0987881054468458</v>
      </c>
      <c r="H13">
        <f t="shared" si="2"/>
        <v>5.7772401447068518</v>
      </c>
      <c r="I13">
        <f t="shared" si="3"/>
        <v>0.19019256217928956</v>
      </c>
      <c r="J13">
        <f t="shared" si="4"/>
        <v>1.8201871590033796</v>
      </c>
      <c r="K13">
        <f t="shared" si="5"/>
        <v>0.16886245126405677</v>
      </c>
      <c r="L13">
        <f t="shared" si="6"/>
        <v>6.6588744058590421E-3</v>
      </c>
      <c r="M13" s="15" t="s">
        <v>79</v>
      </c>
      <c r="N13">
        <f t="shared" si="7"/>
        <v>-0.5368063271433503</v>
      </c>
      <c r="O13" s="2"/>
      <c r="P13" s="104">
        <f t="shared" si="8"/>
        <v>0.25360062824673085</v>
      </c>
      <c r="Q13" s="138">
        <f t="shared" si="9"/>
        <v>0.18287769855926819</v>
      </c>
      <c r="R13" s="10"/>
      <c r="S13" s="10"/>
      <c r="T13" s="10"/>
    </row>
    <row r="14" spans="1:21" x14ac:dyDescent="0.25">
      <c r="A14" s="3" t="s">
        <v>11</v>
      </c>
      <c r="B14" s="131">
        <f>1/100</f>
        <v>0.01</v>
      </c>
      <c r="C14" s="1">
        <f t="shared" si="0"/>
        <v>1.5</v>
      </c>
      <c r="D14" s="10"/>
      <c r="E14" s="10">
        <f t="shared" si="10"/>
        <v>0.39039417927435971</v>
      </c>
      <c r="F14" s="105">
        <f t="shared" si="11"/>
        <v>0.21664558102463949</v>
      </c>
      <c r="G14" s="40">
        <f t="shared" si="1"/>
        <v>1.0832279051231974</v>
      </c>
      <c r="H14">
        <f t="shared" si="2"/>
        <v>5.780788358548719</v>
      </c>
      <c r="I14">
        <f t="shared" si="3"/>
        <v>0.18738411405795602</v>
      </c>
      <c r="J14">
        <f t="shared" si="4"/>
        <v>1.8463335282823392</v>
      </c>
      <c r="K14">
        <f t="shared" si="5"/>
        <v>0.17374859824972025</v>
      </c>
      <c r="L14">
        <f t="shared" si="6"/>
        <v>6.9542420574129436E-3</v>
      </c>
      <c r="M14" s="15" t="s">
        <v>79</v>
      </c>
      <c r="N14">
        <f t="shared" si="7"/>
        <v>-0.60398931220258278</v>
      </c>
      <c r="O14" s="2"/>
      <c r="P14" s="104">
        <f t="shared" si="8"/>
        <v>0.25360062824673085</v>
      </c>
      <c r="Q14" s="138">
        <f t="shared" si="9"/>
        <v>0.18287769855926819</v>
      </c>
      <c r="R14" s="10"/>
      <c r="S14" s="10"/>
      <c r="T14" s="10"/>
    </row>
    <row r="15" spans="1:21" x14ac:dyDescent="0.25">
      <c r="A15" s="6" t="s">
        <v>7</v>
      </c>
      <c r="B15" s="132"/>
      <c r="C15" s="1">
        <f t="shared" si="0"/>
        <v>2</v>
      </c>
      <c r="D15" s="10"/>
      <c r="E15" s="10">
        <f t="shared" si="10"/>
        <v>0.3919887716808575</v>
      </c>
      <c r="F15" s="105">
        <f t="shared" si="11"/>
        <v>0.21412421360881551</v>
      </c>
      <c r="G15" s="40">
        <f t="shared" si="1"/>
        <v>1.0706210680440775</v>
      </c>
      <c r="H15">
        <f t="shared" si="2"/>
        <v>5.7839775433617149</v>
      </c>
      <c r="I15">
        <f t="shared" si="3"/>
        <v>0.18510117994369324</v>
      </c>
      <c r="J15">
        <f t="shared" si="4"/>
        <v>1.8680745781080219</v>
      </c>
      <c r="K15">
        <f t="shared" si="5"/>
        <v>0.17786455807204199</v>
      </c>
      <c r="L15">
        <f t="shared" si="6"/>
        <v>7.2067838030319721E-3</v>
      </c>
      <c r="M15" s="15" t="s">
        <v>79</v>
      </c>
      <c r="N15">
        <f t="shared" si="7"/>
        <v>-0.66132129640399828</v>
      </c>
      <c r="O15" s="2"/>
      <c r="P15" s="104">
        <f t="shared" si="8"/>
        <v>0.25360062824673085</v>
      </c>
      <c r="Q15" s="138">
        <f t="shared" si="9"/>
        <v>0.18287769855926819</v>
      </c>
      <c r="R15" s="10"/>
      <c r="S15" s="10"/>
      <c r="T15" s="10"/>
      <c r="U15" s="31" t="s">
        <v>19</v>
      </c>
    </row>
    <row r="16" spans="1:21" x14ac:dyDescent="0.25">
      <c r="A16" s="3" t="s">
        <v>0</v>
      </c>
      <c r="B16" s="133">
        <f>0.03</f>
        <v>0.03</v>
      </c>
      <c r="C16" s="1">
        <f t="shared" si="0"/>
        <v>2.5</v>
      </c>
      <c r="D16" s="10"/>
      <c r="E16" s="10">
        <f t="shared" si="10"/>
        <v>0.39343797513491297</v>
      </c>
      <c r="F16" s="105">
        <f t="shared" si="11"/>
        <v>0.21201236857058944</v>
      </c>
      <c r="G16" s="40">
        <f t="shared" si="1"/>
        <v>1.0600618428529471</v>
      </c>
      <c r="H16">
        <f t="shared" si="2"/>
        <v>5.7868759502698257</v>
      </c>
      <c r="I16">
        <f t="shared" si="3"/>
        <v>0.18318378551099224</v>
      </c>
      <c r="J16">
        <f t="shared" si="4"/>
        <v>1.8866823794142</v>
      </c>
      <c r="K16">
        <f t="shared" si="5"/>
        <v>0.18142560656432352</v>
      </c>
      <c r="L16">
        <f t="shared" si="6"/>
        <v>7.428015778999042E-3</v>
      </c>
      <c r="M16" s="15" t="s">
        <v>79</v>
      </c>
      <c r="N16">
        <f t="shared" si="7"/>
        <v>-0.71146247539721164</v>
      </c>
      <c r="O16" s="2"/>
      <c r="P16" s="104">
        <f t="shared" si="8"/>
        <v>0.25360062824673085</v>
      </c>
      <c r="Q16" s="138">
        <f t="shared" si="9"/>
        <v>0.18287769855926819</v>
      </c>
      <c r="R16" s="10"/>
      <c r="S16" s="10"/>
      <c r="T16" s="10"/>
    </row>
    <row r="17" spans="1:22" x14ac:dyDescent="0.25">
      <c r="B17" s="20"/>
      <c r="C17" s="1">
        <f t="shared" si="0"/>
        <v>3</v>
      </c>
      <c r="D17" s="10"/>
      <c r="E17" s="10">
        <f t="shared" si="10"/>
        <v>0.39476398305324362</v>
      </c>
      <c r="F17" s="105">
        <f t="shared" si="11"/>
        <v>0.21020483527829248</v>
      </c>
      <c r="G17" s="40">
        <f t="shared" si="1"/>
        <v>1.0510241763914623</v>
      </c>
      <c r="H17">
        <f t="shared" si="2"/>
        <v>5.7895279661064869</v>
      </c>
      <c r="I17">
        <f t="shared" si="3"/>
        <v>0.18153883745694835</v>
      </c>
      <c r="J17">
        <f t="shared" si="4"/>
        <v>1.9029057988625031</v>
      </c>
      <c r="K17">
        <f t="shared" si="5"/>
        <v>0.18455914777495114</v>
      </c>
      <c r="L17">
        <f t="shared" si="6"/>
        <v>7.6247795111081549E-3</v>
      </c>
      <c r="M17" s="15" t="s">
        <v>79</v>
      </c>
      <c r="N17">
        <f t="shared" si="7"/>
        <v>-0.75599336267038075</v>
      </c>
      <c r="O17" s="2"/>
      <c r="P17" s="104">
        <f t="shared" si="8"/>
        <v>0.25360062824673085</v>
      </c>
      <c r="Q17" s="138">
        <f t="shared" si="9"/>
        <v>0.18287769855926819</v>
      </c>
      <c r="R17" s="10"/>
      <c r="S17" s="10"/>
      <c r="T17" s="12" t="s">
        <v>125</v>
      </c>
    </row>
    <row r="18" spans="1:22" x14ac:dyDescent="0.25">
      <c r="B18" s="134"/>
      <c r="C18" s="1">
        <f t="shared" si="0"/>
        <v>3.5</v>
      </c>
      <c r="D18" s="10"/>
      <c r="E18" s="10">
        <f t="shared" si="10"/>
        <v>0.39598282745503699</v>
      </c>
      <c r="F18" s="105">
        <f t="shared" si="11"/>
        <v>0.20863390846452926</v>
      </c>
      <c r="G18" s="40">
        <f t="shared" si="1"/>
        <v>1.0431695423226464</v>
      </c>
      <c r="H18">
        <f t="shared" si="2"/>
        <v>5.791965654910074</v>
      </c>
      <c r="I18">
        <f t="shared" si="3"/>
        <v>0.18010630664536331</v>
      </c>
      <c r="J18">
        <f t="shared" si="4"/>
        <v>1.9172338904248907</v>
      </c>
      <c r="K18">
        <f t="shared" si="5"/>
        <v>0.18734891899050773</v>
      </c>
      <c r="L18">
        <f t="shared" si="6"/>
        <v>7.8015973932303254E-3</v>
      </c>
      <c r="M18" s="15" t="s">
        <v>79</v>
      </c>
      <c r="N18">
        <f t="shared" si="7"/>
        <v>-0.7959584841153442</v>
      </c>
      <c r="O18" s="2"/>
      <c r="P18" s="104">
        <f t="shared" si="8"/>
        <v>0.25360062824673085</v>
      </c>
      <c r="Q18" s="138">
        <f t="shared" si="9"/>
        <v>0.18287769855926819</v>
      </c>
      <c r="R18" s="10"/>
      <c r="S18" s="10"/>
      <c r="T18" s="10"/>
    </row>
    <row r="19" spans="1:22" x14ac:dyDescent="0.25">
      <c r="A19" s="4" t="s">
        <v>29</v>
      </c>
      <c r="B19" s="134">
        <v>0.5</v>
      </c>
      <c r="C19" s="1">
        <f t="shared" si="0"/>
        <v>4</v>
      </c>
      <c r="D19" s="10"/>
      <c r="E19" s="10">
        <f t="shared" si="10"/>
        <v>0.39710687290278485</v>
      </c>
      <c r="F19" s="105">
        <f t="shared" si="11"/>
        <v>0.20725293027870526</v>
      </c>
      <c r="G19" s="40">
        <f t="shared" si="1"/>
        <v>1.0362646513935263</v>
      </c>
      <c r="H19">
        <f t="shared" si="2"/>
        <v>5.7942137458055694</v>
      </c>
      <c r="I19">
        <f t="shared" si="3"/>
        <v>0.17884474008983153</v>
      </c>
      <c r="J19">
        <f t="shared" si="4"/>
        <v>1.9300089000531686</v>
      </c>
      <c r="K19">
        <f t="shared" si="5"/>
        <v>0.18985394262407959</v>
      </c>
      <c r="L19">
        <f t="shared" si="6"/>
        <v>7.9616798848285222E-3</v>
      </c>
      <c r="M19" s="15" t="s">
        <v>79</v>
      </c>
      <c r="N19">
        <f t="shared" si="7"/>
        <v>-0.83209899487328642</v>
      </c>
      <c r="O19" s="2"/>
      <c r="P19" s="104">
        <f t="shared" si="8"/>
        <v>0.25360062824673085</v>
      </c>
      <c r="Q19" s="138">
        <f t="shared" si="9"/>
        <v>0.18287769855926819</v>
      </c>
      <c r="R19" s="10"/>
      <c r="S19" s="10"/>
      <c r="T19" s="10"/>
      <c r="V19" s="106"/>
    </row>
    <row r="20" spans="1:22" x14ac:dyDescent="0.25">
      <c r="A20" s="4"/>
      <c r="B20" s="134"/>
      <c r="C20" s="1">
        <f t="shared" si="0"/>
        <v>4.5</v>
      </c>
      <c r="D20" s="10"/>
      <c r="E20" s="10">
        <f t="shared" si="10"/>
        <v>0.39814608267684226</v>
      </c>
      <c r="F20" s="105">
        <f t="shared" si="11"/>
        <v>0.20602812401903547</v>
      </c>
      <c r="G20" s="40">
        <f t="shared" si="1"/>
        <v>1.0301406200951773</v>
      </c>
      <c r="H20">
        <f t="shared" si="2"/>
        <v>5.7962921653536847</v>
      </c>
      <c r="I20">
        <f t="shared" si="3"/>
        <v>0.17772406750865</v>
      </c>
      <c r="J20">
        <f t="shared" si="4"/>
        <v>1.9414825131497242</v>
      </c>
      <c r="K20">
        <f t="shared" si="5"/>
        <v>0.19211795865780679</v>
      </c>
      <c r="L20">
        <f t="shared" si="6"/>
        <v>8.1074257984975594E-3</v>
      </c>
      <c r="M20" s="15" t="s">
        <v>79</v>
      </c>
      <c r="N20">
        <f t="shared" si="7"/>
        <v>-0.86496828598076769</v>
      </c>
      <c r="O20" s="2"/>
      <c r="P20" s="104">
        <f t="shared" si="8"/>
        <v>0.25360062824673085</v>
      </c>
      <c r="Q20" s="138">
        <f t="shared" si="9"/>
        <v>0.18287769855926819</v>
      </c>
      <c r="R20" s="10"/>
      <c r="S20" s="10"/>
      <c r="T20" s="10"/>
      <c r="V20" s="106"/>
    </row>
    <row r="21" spans="1:22" x14ac:dyDescent="0.25">
      <c r="A21" s="142" t="s">
        <v>18</v>
      </c>
      <c r="B21" s="144">
        <f>($B$16*$B$13^2/(8*9.81*$B$10^2*$B$14))^(1/3)</f>
        <v>0.18287769855926819</v>
      </c>
      <c r="C21" s="1">
        <f t="shared" si="0"/>
        <v>5</v>
      </c>
      <c r="D21" s="10"/>
      <c r="E21" s="10">
        <f t="shared" si="10"/>
        <v>0.39910873666337782</v>
      </c>
      <c r="F21" s="105">
        <f t="shared" si="11"/>
        <v>0.20493411038167045</v>
      </c>
      <c r="G21" s="40">
        <f t="shared" si="1"/>
        <v>1.0246705519083523</v>
      </c>
      <c r="H21">
        <f t="shared" si="2"/>
        <v>5.7982174733267557</v>
      </c>
      <c r="I21">
        <f t="shared" si="3"/>
        <v>0.17672164878638857</v>
      </c>
      <c r="J21">
        <f t="shared" si="4"/>
        <v>1.951846860705803</v>
      </c>
      <c r="K21">
        <f t="shared" si="5"/>
        <v>0.19417462628170737</v>
      </c>
      <c r="L21">
        <f t="shared" si="6"/>
        <v>8.2406977702721203E-3</v>
      </c>
      <c r="M21" s="15" t="s">
        <v>79</v>
      </c>
      <c r="N21">
        <f t="shared" si="7"/>
        <v>-0.89499567368336486</v>
      </c>
      <c r="O21" s="2"/>
      <c r="P21" s="104">
        <f t="shared" si="8"/>
        <v>0.25360062824673085</v>
      </c>
      <c r="Q21" s="138">
        <f t="shared" si="9"/>
        <v>0.18287769855926819</v>
      </c>
      <c r="R21" s="10"/>
      <c r="S21" s="10"/>
      <c r="T21" s="10"/>
      <c r="V21" s="106"/>
    </row>
    <row r="22" spans="1:22" x14ac:dyDescent="0.25">
      <c r="A22" s="142" t="s">
        <v>17</v>
      </c>
      <c r="B22" s="143">
        <f>$B$13/($B$10*B21)</f>
        <v>2.1872541220238806</v>
      </c>
      <c r="C22" s="1">
        <f t="shared" si="0"/>
        <v>5.5</v>
      </c>
      <c r="D22" s="10"/>
      <c r="E22" s="10">
        <f t="shared" si="10"/>
        <v>0.40000187272432058</v>
      </c>
      <c r="F22" s="105">
        <f t="shared" si="11"/>
        <v>0.20395125522300389</v>
      </c>
      <c r="G22" s="40">
        <f t="shared" si="1"/>
        <v>1.0197562761150194</v>
      </c>
      <c r="H22">
        <f t="shared" si="2"/>
        <v>5.8000037454486408</v>
      </c>
      <c r="I22">
        <f t="shared" si="3"/>
        <v>0.17581993406732524</v>
      </c>
      <c r="J22">
        <f t="shared" si="4"/>
        <v>1.9612529452816212</v>
      </c>
      <c r="K22">
        <f t="shared" si="5"/>
        <v>0.19605061750131669</v>
      </c>
      <c r="L22">
        <f t="shared" si="6"/>
        <v>8.3629859097594413E-3</v>
      </c>
      <c r="M22" s="15" t="s">
        <v>79</v>
      </c>
      <c r="N22">
        <f t="shared" si="7"/>
        <v>-0.92252425499368984</v>
      </c>
      <c r="O22" s="2"/>
      <c r="P22" s="104">
        <f t="shared" si="8"/>
        <v>0.25360062824673085</v>
      </c>
      <c r="Q22" s="138">
        <f t="shared" si="9"/>
        <v>0.18287769855926819</v>
      </c>
      <c r="R22" s="10"/>
      <c r="S22" s="10"/>
      <c r="T22" s="10"/>
      <c r="V22" s="106"/>
    </row>
    <row r="23" spans="1:22" x14ac:dyDescent="0.25">
      <c r="B23" s="20"/>
      <c r="C23" s="1">
        <f t="shared" si="0"/>
        <v>6</v>
      </c>
      <c r="D23" s="10"/>
      <c r="E23" s="10">
        <f t="shared" si="10"/>
        <v>0.40083157547453252</v>
      </c>
      <c r="F23" s="105">
        <f t="shared" si="11"/>
        <v>0.20306400804149116</v>
      </c>
      <c r="G23" s="40">
        <f t="shared" si="1"/>
        <v>1.0153200402074558</v>
      </c>
      <c r="H23">
        <f t="shared" si="2"/>
        <v>5.8016631509490653</v>
      </c>
      <c r="I23">
        <f t="shared" si="3"/>
        <v>0.17500499663469166</v>
      </c>
      <c r="J23">
        <f t="shared" si="4"/>
        <v>1.9698222440200717</v>
      </c>
      <c r="K23">
        <f t="shared" si="5"/>
        <v>0.19776756743304133</v>
      </c>
      <c r="L23">
        <f t="shared" si="6"/>
        <v>8.4755108955202278E-3</v>
      </c>
      <c r="M23" s="15" t="s">
        <v>79</v>
      </c>
      <c r="N23">
        <f t="shared" si="7"/>
        <v>-0.94783476737672157</v>
      </c>
      <c r="O23" s="2"/>
      <c r="P23" s="104">
        <f t="shared" si="8"/>
        <v>0.25360062824673085</v>
      </c>
      <c r="Q23" s="138">
        <f t="shared" si="9"/>
        <v>0.18287769855926819</v>
      </c>
      <c r="R23" s="10"/>
      <c r="S23" s="10"/>
      <c r="T23" s="10"/>
      <c r="V23" s="106"/>
    </row>
    <row r="24" spans="1:22" x14ac:dyDescent="0.25">
      <c r="A24" t="s">
        <v>15</v>
      </c>
      <c r="B24" s="135">
        <f>($B$13^2/($B$10^2*9.81))^(1/3)</f>
        <v>0.25360062824673085</v>
      </c>
      <c r="C24" s="1">
        <f t="shared" si="0"/>
        <v>6.5</v>
      </c>
      <c r="D24" s="10"/>
      <c r="E24" s="10">
        <f t="shared" si="10"/>
        <v>0.40160317478078722</v>
      </c>
      <c r="F24" s="105">
        <f t="shared" si="11"/>
        <v>0.20225981243854918</v>
      </c>
      <c r="G24" s="40">
        <f t="shared" si="1"/>
        <v>1.0112990621927458</v>
      </c>
      <c r="H24">
        <f t="shared" si="2"/>
        <v>5.8032063495615747</v>
      </c>
      <c r="I24">
        <f t="shared" si="3"/>
        <v>0.17426556997566495</v>
      </c>
      <c r="J24">
        <f t="shared" si="4"/>
        <v>1.9776543603862409</v>
      </c>
      <c r="K24">
        <f t="shared" si="5"/>
        <v>0.19934336234223807</v>
      </c>
      <c r="L24">
        <f t="shared" si="6"/>
        <v>8.5792920413112188E-3</v>
      </c>
      <c r="M24" s="15" t="s">
        <v>79</v>
      </c>
      <c r="N24">
        <f t="shared" si="7"/>
        <v>-0.97116134875090787</v>
      </c>
      <c r="O24" s="2"/>
      <c r="P24" s="104">
        <f t="shared" si="8"/>
        <v>0.25360062824673085</v>
      </c>
      <c r="Q24" s="138">
        <f t="shared" si="9"/>
        <v>0.18287769855926819</v>
      </c>
      <c r="R24" s="10"/>
      <c r="S24" s="10"/>
      <c r="T24" s="10"/>
      <c r="V24" s="106"/>
    </row>
    <row r="25" spans="1:22" x14ac:dyDescent="0.25">
      <c r="C25" s="1">
        <f t="shared" si="0"/>
        <v>7</v>
      </c>
      <c r="D25" s="10"/>
      <c r="E25" s="10">
        <f t="shared" si="10"/>
        <v>0.40232138779501669</v>
      </c>
      <c r="F25" s="105">
        <f t="shared" si="11"/>
        <v>0.20152836448681796</v>
      </c>
      <c r="G25" s="40">
        <f t="shared" si="1"/>
        <v>1.0076418224340897</v>
      </c>
      <c r="H25">
        <f t="shared" si="2"/>
        <v>5.8046427755900334</v>
      </c>
      <c r="I25">
        <f t="shared" si="3"/>
        <v>0.17359239170952503</v>
      </c>
      <c r="J25">
        <f t="shared" si="4"/>
        <v>1.9848322642749585</v>
      </c>
      <c r="K25">
        <f t="shared" si="5"/>
        <v>0.2007930233081987</v>
      </c>
      <c r="L25">
        <f t="shared" si="6"/>
        <v>8.6751939988903258E-3</v>
      </c>
      <c r="M25" s="15" t="s">
        <v>79</v>
      </c>
      <c r="N25">
        <f t="shared" si="7"/>
        <v>-0.9927023555171326</v>
      </c>
      <c r="O25" s="2"/>
      <c r="P25" s="104">
        <f t="shared" si="8"/>
        <v>0.25360062824673085</v>
      </c>
      <c r="Q25" s="138">
        <f t="shared" si="9"/>
        <v>0.18287769855926819</v>
      </c>
      <c r="R25" s="10"/>
      <c r="S25" s="10"/>
      <c r="T25" s="10"/>
      <c r="V25" s="106"/>
    </row>
    <row r="26" spans="1:22" x14ac:dyDescent="0.25">
      <c r="A26" s="3" t="s">
        <v>22</v>
      </c>
      <c r="C26" s="1">
        <f t="shared" si="0"/>
        <v>7.5</v>
      </c>
      <c r="D26" s="10"/>
      <c r="E26" s="10">
        <f t="shared" si="10"/>
        <v>0.40299042402475016</v>
      </c>
      <c r="F26" s="105">
        <f t="shared" si="11"/>
        <v>0.20086109196865237</v>
      </c>
      <c r="G26" s="40">
        <f t="shared" si="1"/>
        <v>1.0043054598432619</v>
      </c>
      <c r="H26">
        <f t="shared" si="2"/>
        <v>5.8059808480495008</v>
      </c>
      <c r="I26">
        <f t="shared" si="3"/>
        <v>0.17297774245684169</v>
      </c>
      <c r="J26">
        <f t="shared" si="4"/>
        <v>1.991425995346209</v>
      </c>
      <c r="K26">
        <f t="shared" si="5"/>
        <v>0.20212933205609782</v>
      </c>
      <c r="L26">
        <f t="shared" si="6"/>
        <v>8.7639598533838601E-3</v>
      </c>
      <c r="M26" s="15" t="s">
        <v>79</v>
      </c>
      <c r="N26">
        <f t="shared" si="7"/>
        <v>-1.0126280313923948</v>
      </c>
      <c r="O26" s="2"/>
      <c r="P26" s="104">
        <f t="shared" si="8"/>
        <v>0.25360062824673085</v>
      </c>
      <c r="Q26" s="138">
        <f t="shared" si="9"/>
        <v>0.18287769855926819</v>
      </c>
      <c r="R26" s="10"/>
      <c r="S26" s="10"/>
      <c r="T26" s="10"/>
      <c r="V26" s="106"/>
    </row>
    <row r="27" spans="1:22" x14ac:dyDescent="0.25">
      <c r="A27" s="3" t="s">
        <v>23</v>
      </c>
      <c r="C27" s="1">
        <f t="shared" si="0"/>
        <v>8</v>
      </c>
      <c r="D27" s="10"/>
      <c r="E27" s="10">
        <f t="shared" si="10"/>
        <v>0.40361406526930454</v>
      </c>
      <c r="F27" s="105">
        <f t="shared" si="11"/>
        <v>0.20025077894733667</v>
      </c>
      <c r="G27" s="40">
        <f t="shared" si="1"/>
        <v>1.0012538947366834</v>
      </c>
      <c r="H27">
        <f t="shared" si="2"/>
        <v>5.8072281305386095</v>
      </c>
      <c r="I27">
        <f t="shared" si="3"/>
        <v>0.17241511306768983</v>
      </c>
      <c r="J27">
        <f t="shared" si="4"/>
        <v>1.9974953510927154</v>
      </c>
      <c r="K27">
        <f t="shared" si="5"/>
        <v>0.2033632863219679</v>
      </c>
      <c r="L27">
        <f t="shared" si="6"/>
        <v>8.8462352300633807E-3</v>
      </c>
      <c r="M27" s="15" t="s">
        <v>79</v>
      </c>
      <c r="N27">
        <f t="shared" si="7"/>
        <v>-1.0310860950553384</v>
      </c>
      <c r="O27" s="2"/>
      <c r="P27" s="104">
        <f t="shared" si="8"/>
        <v>0.25360062824673085</v>
      </c>
      <c r="Q27" s="138">
        <f t="shared" si="9"/>
        <v>0.18287769855926819</v>
      </c>
      <c r="R27" s="10"/>
      <c r="S27" s="10"/>
      <c r="T27" s="10"/>
      <c r="V27" s="106"/>
    </row>
    <row r="28" spans="1:22" x14ac:dyDescent="0.25">
      <c r="A28" s="3" t="s">
        <v>24</v>
      </c>
      <c r="C28" s="1">
        <f t="shared" si="0"/>
        <v>8.5</v>
      </c>
      <c r="D28" s="10"/>
      <c r="E28" s="10">
        <f t="shared" si="10"/>
        <v>0.40419572790390601</v>
      </c>
      <c r="F28" s="105">
        <f t="shared" si="11"/>
        <v>0.19969128892246407</v>
      </c>
      <c r="G28" s="40">
        <f t="shared" si="1"/>
        <v>0.9984564446123203</v>
      </c>
      <c r="H28">
        <f t="shared" si="2"/>
        <v>5.8083914558078122</v>
      </c>
      <c r="I28">
        <f t="shared" si="3"/>
        <v>0.17189895898183022</v>
      </c>
      <c r="J28">
        <f t="shared" si="4"/>
        <v>2.0030918832684366</v>
      </c>
      <c r="K28">
        <f t="shared" si="5"/>
        <v>0.20450443898144197</v>
      </c>
      <c r="L28">
        <f t="shared" si="6"/>
        <v>8.9225862765285047E-3</v>
      </c>
      <c r="M28" s="15" t="s">
        <v>79</v>
      </c>
      <c r="N28">
        <f t="shared" si="7"/>
        <v>-1.0482059090804583</v>
      </c>
      <c r="O28" s="2"/>
      <c r="P28" s="104">
        <f t="shared" si="8"/>
        <v>0.25360062824673085</v>
      </c>
      <c r="Q28" s="138">
        <f t="shared" si="9"/>
        <v>0.18287769855926819</v>
      </c>
      <c r="R28" s="10"/>
      <c r="S28" s="10"/>
      <c r="T28" s="10"/>
      <c r="V28" s="107"/>
    </row>
    <row r="29" spans="1:22" x14ac:dyDescent="0.25">
      <c r="C29" s="1">
        <f t="shared" si="0"/>
        <v>9</v>
      </c>
      <c r="D29" s="10"/>
      <c r="E29" s="10">
        <f t="shared" si="10"/>
        <v>0.40473851241698883</v>
      </c>
      <c r="F29" s="105">
        <f t="shared" si="11"/>
        <v>0.19917735663390415</v>
      </c>
      <c r="G29" s="40">
        <f t="shared" si="1"/>
        <v>0.99588678316952073</v>
      </c>
      <c r="H29">
        <f t="shared" si="2"/>
        <v>5.8094770248339778</v>
      </c>
      <c r="I29">
        <f t="shared" si="3"/>
        <v>0.17142451530703506</v>
      </c>
      <c r="J29">
        <f t="shared" si="4"/>
        <v>2.0082604105205384</v>
      </c>
      <c r="K29">
        <f t="shared" si="5"/>
        <v>0.20556115578308468</v>
      </c>
      <c r="L29">
        <f t="shared" si="6"/>
        <v>8.9935133584120742E-3</v>
      </c>
      <c r="M29" s="15" t="s">
        <v>79</v>
      </c>
      <c r="N29">
        <f t="shared" si="7"/>
        <v>-1.0641016555000693</v>
      </c>
      <c r="O29" s="2"/>
      <c r="P29" s="104">
        <f t="shared" si="8"/>
        <v>0.25360062824673085</v>
      </c>
      <c r="Q29" s="138">
        <f t="shared" si="9"/>
        <v>0.18287769855926819</v>
      </c>
      <c r="R29" s="10"/>
      <c r="S29" s="10"/>
      <c r="T29" s="10"/>
    </row>
    <row r="30" spans="1:22" x14ac:dyDescent="0.25">
      <c r="C30" s="1">
        <f t="shared" si="0"/>
        <v>9.5</v>
      </c>
      <c r="D30" s="10"/>
      <c r="E30" s="10">
        <f t="shared" si="10"/>
        <v>0.40524524351717728</v>
      </c>
      <c r="F30" s="105">
        <f t="shared" si="11"/>
        <v>0.19870442877199093</v>
      </c>
      <c r="G30" s="40">
        <f t="shared" si="1"/>
        <v>0.99352214385995463</v>
      </c>
      <c r="H30">
        <f t="shared" si="2"/>
        <v>5.8104904870343548</v>
      </c>
      <c r="I30">
        <f t="shared" si="3"/>
        <v>0.17098765518623943</v>
      </c>
      <c r="J30">
        <f t="shared" si="4"/>
        <v>2.0130401847207513</v>
      </c>
      <c r="K30">
        <f t="shared" si="5"/>
        <v>0.20654081474518635</v>
      </c>
      <c r="L30">
        <f t="shared" si="6"/>
        <v>9.0594616839541342E-3</v>
      </c>
      <c r="M30" s="15" t="s">
        <v>79</v>
      </c>
      <c r="N30">
        <f t="shared" si="7"/>
        <v>-1.0788747993351224</v>
      </c>
      <c r="O30" s="2"/>
      <c r="P30" s="104">
        <f t="shared" si="8"/>
        <v>0.25360062824673085</v>
      </c>
      <c r="Q30" s="138">
        <f t="shared" si="9"/>
        <v>0.18287769855926819</v>
      </c>
      <c r="R30" s="10"/>
      <c r="S30" s="10"/>
      <c r="T30" s="10"/>
    </row>
    <row r="31" spans="1:22" x14ac:dyDescent="0.25">
      <c r="C31" s="1">
        <f t="shared" si="0"/>
        <v>10</v>
      </c>
      <c r="D31" s="10"/>
      <c r="E31" s="10">
        <f t="shared" si="10"/>
        <v>0.40571850311336344</v>
      </c>
      <c r="F31" s="105">
        <f t="shared" si="11"/>
        <v>0.1982685402348662</v>
      </c>
      <c r="G31" s="40">
        <f t="shared" si="1"/>
        <v>0.99134270117433099</v>
      </c>
      <c r="H31">
        <f t="shared" si="2"/>
        <v>5.8114370062267273</v>
      </c>
      <c r="I31">
        <f t="shared" si="3"/>
        <v>0.170584779652975</v>
      </c>
      <c r="J31">
        <f t="shared" si="4"/>
        <v>2.017465804338729</v>
      </c>
      <c r="K31">
        <f t="shared" si="5"/>
        <v>0.20744996287849721</v>
      </c>
      <c r="L31">
        <f t="shared" si="6"/>
        <v>9.1208296821901989E-3</v>
      </c>
      <c r="M31" s="15" t="s">
        <v>79</v>
      </c>
      <c r="N31">
        <f t="shared" si="7"/>
        <v>-1.0926160310935344</v>
      </c>
      <c r="O31" s="2"/>
      <c r="P31" s="104">
        <f t="shared" si="8"/>
        <v>0.25360062824673085</v>
      </c>
      <c r="Q31" s="138">
        <f t="shared" si="9"/>
        <v>0.18287769855926819</v>
      </c>
      <c r="R31" s="10"/>
      <c r="S31" s="10"/>
      <c r="T31" s="10"/>
    </row>
    <row r="32" spans="1:22" x14ac:dyDescent="0.25">
      <c r="C32" s="1">
        <f t="shared" si="0"/>
        <v>10.5</v>
      </c>
      <c r="D32" s="10"/>
      <c r="E32" s="10">
        <f t="shared" si="10"/>
        <v>0.40616065780595623</v>
      </c>
      <c r="F32" s="105">
        <f t="shared" si="11"/>
        <v>0.19786621668624962</v>
      </c>
      <c r="G32" s="40">
        <f t="shared" si="1"/>
        <v>0.98933108343124809</v>
      </c>
      <c r="H32">
        <f t="shared" si="2"/>
        <v>5.8123213156119125</v>
      </c>
      <c r="I32">
        <f t="shared" si="3"/>
        <v>0.17021273080239074</v>
      </c>
      <c r="J32">
        <f t="shared" si="4"/>
        <v>2.0215679396865798</v>
      </c>
      <c r="K32">
        <f t="shared" si="5"/>
        <v>0.20829444111970657</v>
      </c>
      <c r="L32">
        <f t="shared" si="6"/>
        <v>9.1779757074190432E-3</v>
      </c>
      <c r="M32" s="15" t="s">
        <v>79</v>
      </c>
      <c r="N32">
        <f t="shared" si="7"/>
        <v>-1.105406820912664</v>
      </c>
      <c r="O32" s="2"/>
      <c r="P32" s="104">
        <f t="shared" si="8"/>
        <v>0.25360062824673085</v>
      </c>
      <c r="Q32" s="138">
        <f t="shared" si="9"/>
        <v>0.18287769855926819</v>
      </c>
      <c r="R32" s="10"/>
      <c r="T32" s="10"/>
    </row>
    <row r="33" spans="3:20" ht="24.6" x14ac:dyDescent="0.4">
      <c r="C33" s="1">
        <f t="shared" si="0"/>
        <v>11</v>
      </c>
      <c r="D33" s="10"/>
      <c r="E33" s="10">
        <f t="shared" si="10"/>
        <v>0.40657388207895695</v>
      </c>
      <c r="F33" s="105">
        <f t="shared" si="11"/>
        <v>0.19749439688333659</v>
      </c>
      <c r="G33" s="40">
        <f t="shared" si="1"/>
        <v>0.98747198441668294</v>
      </c>
      <c r="H33">
        <f t="shared" si="2"/>
        <v>5.8131477641579137</v>
      </c>
      <c r="I33">
        <f t="shared" si="3"/>
        <v>0.16986872250265722</v>
      </c>
      <c r="J33">
        <f t="shared" si="4"/>
        <v>2.0253739159814597</v>
      </c>
      <c r="K33">
        <f t="shared" si="5"/>
        <v>0.20907948519562039</v>
      </c>
      <c r="L33">
        <f t="shared" si="6"/>
        <v>9.2312234757792062E-3</v>
      </c>
      <c r="M33" s="15" t="s">
        <v>79</v>
      </c>
      <c r="N33">
        <f t="shared" si="7"/>
        <v>-1.1173206784102065</v>
      </c>
      <c r="O33" s="2"/>
      <c r="P33" s="104">
        <f t="shared" si="8"/>
        <v>0.25360062824673085</v>
      </c>
      <c r="Q33" s="138">
        <f t="shared" si="9"/>
        <v>0.18287769855926819</v>
      </c>
      <c r="R33" s="10"/>
      <c r="S33" s="130" t="s">
        <v>134</v>
      </c>
      <c r="T33" s="10"/>
    </row>
    <row r="34" spans="3:20" x14ac:dyDescent="0.25">
      <c r="C34" s="1">
        <f t="shared" si="0"/>
        <v>11.5</v>
      </c>
      <c r="D34" s="10"/>
      <c r="E34" s="10">
        <f t="shared" si="10"/>
        <v>0.40696017807324097</v>
      </c>
      <c r="F34" s="105">
        <f t="shared" si="11"/>
        <v>0.19715037007927053</v>
      </c>
      <c r="G34" s="40">
        <f t="shared" si="1"/>
        <v>0.9857518503963526</v>
      </c>
      <c r="H34">
        <f t="shared" si="2"/>
        <v>5.8139203561464816</v>
      </c>
      <c r="I34">
        <f t="shared" si="3"/>
        <v>0.1695502844916365</v>
      </c>
      <c r="J34">
        <f t="shared" si="4"/>
        <v>2.02890818738594</v>
      </c>
      <c r="K34">
        <f t="shared" si="5"/>
        <v>0.20980980799397045</v>
      </c>
      <c r="L34">
        <f t="shared" si="6"/>
        <v>9.2808665268408839E-3</v>
      </c>
      <c r="M34" s="15" t="s">
        <v>79</v>
      </c>
      <c r="N34">
        <f t="shared" si="7"/>
        <v>-1.1284241861641933</v>
      </c>
      <c r="O34" s="2"/>
      <c r="P34" s="104">
        <f t="shared" si="8"/>
        <v>0.25360062824673085</v>
      </c>
      <c r="Q34" s="138">
        <f t="shared" si="9"/>
        <v>0.18287769855926819</v>
      </c>
      <c r="R34" s="10"/>
      <c r="S34" s="10"/>
      <c r="T34" s="10"/>
    </row>
    <row r="35" spans="3:20" x14ac:dyDescent="0.25">
      <c r="C35" s="1">
        <f t="shared" si="0"/>
        <v>12</v>
      </c>
      <c r="D35" s="10"/>
      <c r="E35" s="10">
        <f t="shared" si="10"/>
        <v>0.40732139260368982</v>
      </c>
      <c r="F35" s="105">
        <f t="shared" si="11"/>
        <v>0.19683172506883184</v>
      </c>
      <c r="G35" s="40">
        <f t="shared" si="1"/>
        <v>0.98415862534415921</v>
      </c>
      <c r="H35">
        <f t="shared" si="2"/>
        <v>5.8146427852073792</v>
      </c>
      <c r="I35">
        <f t="shared" si="3"/>
        <v>0.16925521682052205</v>
      </c>
      <c r="J35">
        <f t="shared" si="4"/>
        <v>2.0321927263510009</v>
      </c>
      <c r="K35">
        <f t="shared" si="5"/>
        <v>0.21048966753485798</v>
      </c>
      <c r="L35">
        <f t="shared" si="6"/>
        <v>9.327171925137507E-3</v>
      </c>
      <c r="M35" s="15" t="s">
        <v>79</v>
      </c>
      <c r="N35">
        <f t="shared" si="7"/>
        <v>-1.1387778566818936</v>
      </c>
      <c r="O35" s="2"/>
      <c r="P35" s="104">
        <f t="shared" si="8"/>
        <v>0.25360062824673085</v>
      </c>
      <c r="Q35" s="138">
        <f t="shared" si="9"/>
        <v>0.18287769855926819</v>
      </c>
      <c r="R35" s="10"/>
      <c r="S35" s="10"/>
      <c r="T35" s="10"/>
    </row>
    <row r="36" spans="3:20" x14ac:dyDescent="0.25">
      <c r="C36" s="1">
        <f t="shared" si="0"/>
        <v>12.5</v>
      </c>
      <c r="D36" s="10"/>
      <c r="E36" s="10">
        <f t="shared" si="10"/>
        <v>0.40765923192665893</v>
      </c>
      <c r="F36" s="105">
        <f t="shared" si="11"/>
        <v>0.19653630833284835</v>
      </c>
      <c r="G36" s="40">
        <f t="shared" si="1"/>
        <v>0.98268154166424182</v>
      </c>
      <c r="H36">
        <f t="shared" si="2"/>
        <v>5.815318463853318</v>
      </c>
      <c r="I36">
        <f t="shared" si="3"/>
        <v>0.16898155239001342</v>
      </c>
      <c r="J36">
        <f t="shared" si="4"/>
        <v>2.0352473463710901</v>
      </c>
      <c r="K36">
        <f t="shared" si="5"/>
        <v>0.21112292359381057</v>
      </c>
      <c r="L36">
        <f t="shared" si="6"/>
        <v>9.3703833617234389E-3</v>
      </c>
      <c r="M36" s="15" t="s">
        <v>79</v>
      </c>
      <c r="N36">
        <f t="shared" si="7"/>
        <v>-1.1484368500120472</v>
      </c>
      <c r="O36" s="2"/>
      <c r="P36" s="104">
        <f t="shared" si="8"/>
        <v>0.25360062824673085</v>
      </c>
      <c r="Q36" s="138">
        <f t="shared" si="9"/>
        <v>0.18287769855926819</v>
      </c>
      <c r="R36" s="10"/>
      <c r="S36" s="10"/>
      <c r="T36" s="10"/>
    </row>
    <row r="37" spans="3:20" x14ac:dyDescent="0.25">
      <c r="C37" s="1">
        <f t="shared" si="0"/>
        <v>13</v>
      </c>
      <c r="D37" s="10"/>
      <c r="E37" s="10">
        <f t="shared" si="10"/>
        <v>0.40797527465036676</v>
      </c>
      <c r="F37" s="105">
        <f t="shared" si="11"/>
        <v>0.19626218936920226</v>
      </c>
      <c r="G37" s="40">
        <f t="shared" si="1"/>
        <v>0.98131094684601128</v>
      </c>
      <c r="H37">
        <f t="shared" si="2"/>
        <v>5.8159505493007337</v>
      </c>
      <c r="I37">
        <f t="shared" si="3"/>
        <v>0.168727525883795</v>
      </c>
      <c r="J37">
        <f t="shared" si="4"/>
        <v>2.0380899718158783</v>
      </c>
      <c r="K37">
        <f t="shared" si="5"/>
        <v>0.2117130852811645</v>
      </c>
      <c r="L37">
        <f t="shared" si="6"/>
        <v>9.4107237766427442E-3</v>
      </c>
      <c r="M37" s="15" t="s">
        <v>79</v>
      </c>
      <c r="N37">
        <f t="shared" si="7"/>
        <v>-1.157451580068706</v>
      </c>
      <c r="O37" s="2"/>
      <c r="P37" s="104">
        <f t="shared" si="8"/>
        <v>0.25360062824673085</v>
      </c>
      <c r="Q37" s="138">
        <f t="shared" si="9"/>
        <v>0.18287769855926819</v>
      </c>
      <c r="R37" s="10"/>
      <c r="S37" s="10"/>
      <c r="T37" s="10"/>
    </row>
    <row r="38" spans="3:20" x14ac:dyDescent="0.25">
      <c r="C38" s="1">
        <f t="shared" si="0"/>
        <v>13.5</v>
      </c>
      <c r="D38" s="10"/>
      <c r="E38" s="10">
        <f t="shared" si="10"/>
        <v>0.40827098309644427</v>
      </c>
      <c r="F38" s="105">
        <f t="shared" si="11"/>
        <v>0.1960076317559489</v>
      </c>
      <c r="G38" s="40">
        <f t="shared" si="1"/>
        <v>0.98003815877974454</v>
      </c>
      <c r="H38">
        <f t="shared" si="2"/>
        <v>5.8165419661928883</v>
      </c>
      <c r="I38">
        <f t="shared" si="3"/>
        <v>0.16849154780898293</v>
      </c>
      <c r="J38">
        <f t="shared" si="4"/>
        <v>2.0407368652769811</v>
      </c>
      <c r="K38">
        <f t="shared" si="5"/>
        <v>0.21226335134049537</v>
      </c>
      <c r="L38">
        <f t="shared" si="6"/>
        <v>9.4483975947477223E-3</v>
      </c>
      <c r="M38" s="15" t="s">
        <v>79</v>
      </c>
      <c r="N38">
        <f t="shared" si="7"/>
        <v>-1.1658682311389446</v>
      </c>
      <c r="O38" s="2"/>
      <c r="P38" s="104">
        <f t="shared" si="8"/>
        <v>0.25360062824673085</v>
      </c>
      <c r="Q38" s="138">
        <f t="shared" si="9"/>
        <v>0.18287769855926819</v>
      </c>
      <c r="R38" s="10"/>
      <c r="S38" s="10"/>
      <c r="T38" s="10"/>
    </row>
    <row r="39" spans="3:20" x14ac:dyDescent="0.25">
      <c r="C39" s="1">
        <f t="shared" si="0"/>
        <v>14</v>
      </c>
      <c r="D39" s="10"/>
      <c r="E39" s="10">
        <f t="shared" si="10"/>
        <v>0.40854771335753892</v>
      </c>
      <c r="F39" s="105">
        <f t="shared" si="11"/>
        <v>0.19577106882777245</v>
      </c>
      <c r="G39" s="40">
        <f t="shared" si="1"/>
        <v>0.97885534413886233</v>
      </c>
      <c r="H39">
        <f t="shared" si="2"/>
        <v>5.8170954267150776</v>
      </c>
      <c r="I39">
        <f t="shared" si="3"/>
        <v>0.1682721826503753</v>
      </c>
      <c r="J39">
        <f t="shared" si="4"/>
        <v>2.0432028204938484</v>
      </c>
      <c r="K39">
        <f t="shared" si="5"/>
        <v>0.21277664452976644</v>
      </c>
      <c r="L39">
        <f t="shared" si="6"/>
        <v>9.4835926463790309E-3</v>
      </c>
      <c r="M39" s="15" t="s">
        <v>79</v>
      </c>
      <c r="N39">
        <f t="shared" si="7"/>
        <v>-1.1737292011921783</v>
      </c>
      <c r="O39" s="2"/>
      <c r="P39" s="104">
        <f t="shared" si="8"/>
        <v>0.25360062824673085</v>
      </c>
      <c r="Q39" s="138">
        <f t="shared" si="9"/>
        <v>0.18287769855926819</v>
      </c>
      <c r="R39" s="10"/>
      <c r="S39" s="10"/>
      <c r="T39" s="10"/>
    </row>
    <row r="40" spans="3:20" x14ac:dyDescent="0.25">
      <c r="C40" s="1">
        <f t="shared" si="0"/>
        <v>14.5</v>
      </c>
      <c r="D40" s="10"/>
      <c r="E40" s="10">
        <f t="shared" si="10"/>
        <v>0.40880672424767295</v>
      </c>
      <c r="F40" s="105">
        <f t="shared" si="11"/>
        <v>0.19555108309635483</v>
      </c>
      <c r="G40" s="40">
        <f t="shared" si="1"/>
        <v>0.97775541548177414</v>
      </c>
      <c r="H40">
        <f t="shared" si="2"/>
        <v>5.8176134484953455</v>
      </c>
      <c r="I40">
        <f t="shared" si="3"/>
        <v>0.16806813036618282</v>
      </c>
      <c r="J40">
        <f t="shared" si="4"/>
        <v>2.045501327154021</v>
      </c>
      <c r="K40">
        <f t="shared" si="5"/>
        <v>0.21325564115131812</v>
      </c>
      <c r="L40">
        <f t="shared" si="6"/>
        <v>9.5164818288280689E-3</v>
      </c>
      <c r="M40" s="15" t="s">
        <v>79</v>
      </c>
      <c r="N40">
        <f t="shared" si="7"/>
        <v>-1.1810734849905131</v>
      </c>
      <c r="O40" s="2"/>
      <c r="P40" s="104">
        <f t="shared" si="8"/>
        <v>0.25360062824673085</v>
      </c>
      <c r="Q40" s="138">
        <f t="shared" si="9"/>
        <v>0.18287769855926819</v>
      </c>
      <c r="R40" s="10"/>
      <c r="S40" s="10"/>
      <c r="T40" s="10"/>
    </row>
    <row r="41" spans="3:20" x14ac:dyDescent="0.25">
      <c r="C41" s="1">
        <f t="shared" si="0"/>
        <v>15</v>
      </c>
      <c r="D41" s="10"/>
      <c r="E41" s="10">
        <f t="shared" si="10"/>
        <v>0.40904918530496093</v>
      </c>
      <c r="F41" s="105">
        <f t="shared" si="11"/>
        <v>0.19534638873257618</v>
      </c>
      <c r="G41" s="40">
        <f t="shared" si="1"/>
        <v>0.97673194366288085</v>
      </c>
      <c r="H41">
        <f t="shared" si="2"/>
        <v>5.8180983706099223</v>
      </c>
      <c r="I41">
        <f t="shared" si="3"/>
        <v>0.16787821061892569</v>
      </c>
      <c r="J41">
        <f t="shared" si="4"/>
        <v>2.0476447125295416</v>
      </c>
      <c r="K41">
        <f t="shared" si="5"/>
        <v>0.21370279657238475</v>
      </c>
      <c r="L41">
        <f t="shared" si="6"/>
        <v>9.5472245527508486E-3</v>
      </c>
      <c r="M41" s="15" t="s">
        <v>79</v>
      </c>
      <c r="N41">
        <f t="shared" si="7"/>
        <v>-1.1879370072710995</v>
      </c>
      <c r="O41" s="2"/>
      <c r="P41" s="104">
        <f t="shared" si="8"/>
        <v>0.25360062824673085</v>
      </c>
      <c r="Q41" s="138">
        <f t="shared" si="9"/>
        <v>0.18287769855926819</v>
      </c>
      <c r="R41" s="10"/>
      <c r="S41" s="10"/>
      <c r="T41" s="10"/>
    </row>
    <row r="42" spans="3:20" x14ac:dyDescent="0.25">
      <c r="C42" s="1">
        <f t="shared" si="0"/>
        <v>15.5</v>
      </c>
      <c r="D42" s="10"/>
      <c r="E42" s="10">
        <f t="shared" si="10"/>
        <v>0.40927618397741394</v>
      </c>
      <c r="F42" s="105">
        <f t="shared" si="11"/>
        <v>0.19515581657072004</v>
      </c>
      <c r="G42" s="40">
        <f t="shared" si="1"/>
        <v>0.97577908285360015</v>
      </c>
      <c r="H42">
        <f t="shared" si="2"/>
        <v>5.8185523679548279</v>
      </c>
      <c r="I42">
        <f t="shared" si="3"/>
        <v>0.16770134926130745</v>
      </c>
      <c r="J42">
        <f t="shared" si="4"/>
        <v>2.0496442638954044</v>
      </c>
      <c r="K42">
        <f t="shared" si="5"/>
        <v>0.21412036740669391</v>
      </c>
      <c r="L42">
        <f t="shared" si="6"/>
        <v>9.5759680087482927E-3</v>
      </c>
      <c r="M42" s="15" t="s">
        <v>79</v>
      </c>
      <c r="N42">
        <f t="shared" si="7"/>
        <v>-1.1943529141915326</v>
      </c>
      <c r="O42" s="2"/>
      <c r="P42" s="104">
        <f t="shared" si="8"/>
        <v>0.25360062824673085</v>
      </c>
      <c r="Q42" s="138">
        <f t="shared" si="9"/>
        <v>0.18287769855926819</v>
      </c>
      <c r="R42" s="10"/>
      <c r="S42" s="10"/>
      <c r="T42" s="10"/>
    </row>
    <row r="43" spans="3:20" x14ac:dyDescent="0.25">
      <c r="C43" s="1">
        <f t="shared" si="0"/>
        <v>16</v>
      </c>
      <c r="D43" s="10"/>
      <c r="E43" s="10">
        <f t="shared" si="10"/>
        <v>0.40948873209984926</v>
      </c>
      <c r="F43" s="105">
        <f t="shared" si="11"/>
        <v>0.19497830120394138</v>
      </c>
      <c r="G43" s="40">
        <f t="shared" si="1"/>
        <v>0.97489150601970698</v>
      </c>
      <c r="H43">
        <f t="shared" si="2"/>
        <v>5.8189774641996985</v>
      </c>
      <c r="I43">
        <f t="shared" si="3"/>
        <v>0.16753656669364447</v>
      </c>
      <c r="J43">
        <f t="shared" si="4"/>
        <v>2.0515103348941999</v>
      </c>
      <c r="K43">
        <f t="shared" si="5"/>
        <v>0.21451043089590785</v>
      </c>
      <c r="L43">
        <f t="shared" si="6"/>
        <v>9.602848282436122E-3</v>
      </c>
      <c r="M43" s="15" t="s">
        <v>79</v>
      </c>
      <c r="N43">
        <f t="shared" si="7"/>
        <v>-1.2003518296278153</v>
      </c>
      <c r="O43" s="2"/>
      <c r="P43" s="104">
        <f t="shared" si="8"/>
        <v>0.25360062824673085</v>
      </c>
      <c r="Q43" s="138">
        <f t="shared" si="9"/>
        <v>0.18287769855926819</v>
      </c>
      <c r="R43" s="10"/>
      <c r="S43" s="10"/>
      <c r="T43" s="10"/>
    </row>
    <row r="44" spans="3:20" x14ac:dyDescent="0.25">
      <c r="C44" s="1">
        <f t="shared" si="0"/>
        <v>16.5</v>
      </c>
      <c r="D44" s="10"/>
      <c r="E44" s="10">
        <f t="shared" si="10"/>
        <v>0.40968777175189774</v>
      </c>
      <c r="F44" s="105">
        <f t="shared" si="11"/>
        <v>0.19481286982467361</v>
      </c>
      <c r="G44" s="40">
        <f t="shared" si="1"/>
        <v>0.97406434912336803</v>
      </c>
      <c r="H44">
        <f t="shared" si="2"/>
        <v>5.8193755435037957</v>
      </c>
      <c r="I44">
        <f t="shared" si="3"/>
        <v>0.16738296778435652</v>
      </c>
      <c r="J44">
        <f t="shared" si="4"/>
        <v>2.0532524384040403</v>
      </c>
      <c r="K44">
        <f t="shared" si="5"/>
        <v>0.21487490192722411</v>
      </c>
      <c r="L44">
        <f t="shared" si="6"/>
        <v>9.6279913409732017E-3</v>
      </c>
      <c r="M44" s="15" t="s">
        <v>79</v>
      </c>
      <c r="N44">
        <f t="shared" si="7"/>
        <v>-1.2059620816695102</v>
      </c>
      <c r="O44" s="2"/>
      <c r="P44" s="104">
        <f t="shared" si="8"/>
        <v>0.25360062824673085</v>
      </c>
      <c r="Q44" s="138">
        <f t="shared" si="9"/>
        <v>0.18287769855926819</v>
      </c>
      <c r="R44" s="10"/>
      <c r="S44" s="10"/>
      <c r="T44" s="10"/>
    </row>
    <row r="45" spans="3:20" x14ac:dyDescent="0.25">
      <c r="C45" s="1">
        <f t="shared" si="0"/>
        <v>17</v>
      </c>
      <c r="D45" s="10"/>
      <c r="E45" s="10">
        <f t="shared" si="10"/>
        <v>0.40987418057265401</v>
      </c>
      <c r="F45" s="105">
        <f t="shared" si="11"/>
        <v>0.19465863252953752</v>
      </c>
      <c r="G45" s="40">
        <f t="shared" si="1"/>
        <v>0.97329316264768762</v>
      </c>
      <c r="H45">
        <f t="shared" si="2"/>
        <v>5.819748361145308</v>
      </c>
      <c r="I45">
        <f t="shared" si="3"/>
        <v>0.1672397331035369</v>
      </c>
      <c r="J45">
        <f t="shared" si="4"/>
        <v>2.0548793279912925</v>
      </c>
      <c r="K45">
        <f t="shared" si="5"/>
        <v>0.21521554804311652</v>
      </c>
      <c r="L45">
        <f t="shared" si="6"/>
        <v>9.6515139098200184E-3</v>
      </c>
      <c r="M45" s="15" t="s">
        <v>79</v>
      </c>
      <c r="N45">
        <f t="shared" si="7"/>
        <v>-1.2112099036805843</v>
      </c>
      <c r="O45" s="2"/>
      <c r="P45" s="104">
        <f t="shared" si="8"/>
        <v>0.25360062824673085</v>
      </c>
      <c r="Q45" s="138">
        <f t="shared" si="9"/>
        <v>0.18287769855926819</v>
      </c>
      <c r="R45" s="10"/>
      <c r="S45" s="10"/>
      <c r="T45" s="10"/>
    </row>
    <row r="46" spans="3:20" x14ac:dyDescent="0.25">
      <c r="C46" s="1">
        <f t="shared" si="0"/>
        <v>17.5</v>
      </c>
      <c r="D46" s="10"/>
      <c r="E46" s="10">
        <f t="shared" si="10"/>
        <v>0.41004877659584871</v>
      </c>
      <c r="F46" s="105">
        <f t="shared" si="11"/>
        <v>0.19451477386015206</v>
      </c>
      <c r="G46" s="40">
        <f t="shared" si="1"/>
        <v>0.97257386930076029</v>
      </c>
      <c r="H46">
        <f t="shared" si="2"/>
        <v>5.8200975531916974</v>
      </c>
      <c r="I46">
        <f t="shared" si="3"/>
        <v>0.16710611126567942</v>
      </c>
      <c r="J46">
        <f t="shared" si="4"/>
        <v>2.056399069654129</v>
      </c>
      <c r="K46">
        <f t="shared" si="5"/>
        <v>0.21553400273569662</v>
      </c>
      <c r="L46">
        <f t="shared" si="6"/>
        <v>9.6735242551821941E-3</v>
      </c>
      <c r="M46" s="15" t="s">
        <v>79</v>
      </c>
      <c r="N46">
        <f t="shared" si="7"/>
        <v>-1.2161196135225851</v>
      </c>
      <c r="O46" s="2"/>
      <c r="P46" s="104">
        <f t="shared" si="8"/>
        <v>0.25360062824673085</v>
      </c>
      <c r="Q46" s="138">
        <f t="shared" si="9"/>
        <v>0.18287769855926819</v>
      </c>
      <c r="R46" s="10"/>
      <c r="S46" s="10"/>
      <c r="T46" s="10"/>
    </row>
    <row r="47" spans="3:20" x14ac:dyDescent="0.25">
      <c r="C47" s="1">
        <f t="shared" si="0"/>
        <v>18</v>
      </c>
      <c r="D47" s="10"/>
      <c r="E47" s="10">
        <f t="shared" si="10"/>
        <v>0.41021232265991669</v>
      </c>
      <c r="F47" s="105">
        <f t="shared" si="11"/>
        <v>0.19438054539233213</v>
      </c>
      <c r="G47" s="40">
        <f t="shared" si="1"/>
        <v>0.97190272696166069</v>
      </c>
      <c r="H47">
        <f t="shared" si="2"/>
        <v>5.8204246453198332</v>
      </c>
      <c r="I47">
        <f t="shared" si="3"/>
        <v>0.16698141221416921</v>
      </c>
      <c r="J47">
        <f t="shared" si="4"/>
        <v>2.0578191052641168</v>
      </c>
      <c r="K47">
        <f t="shared" si="5"/>
        <v>0.2158317772675846</v>
      </c>
      <c r="L47">
        <f t="shared" si="6"/>
        <v>9.6941228849514206E-3</v>
      </c>
      <c r="M47" s="15" t="s">
        <v>79</v>
      </c>
      <c r="N47">
        <f t="shared" si="7"/>
        <v>-1.2207137739217258</v>
      </c>
      <c r="O47" s="2"/>
      <c r="P47" s="104">
        <f t="shared" si="8"/>
        <v>0.25360062824673085</v>
      </c>
      <c r="Q47" s="138">
        <f t="shared" si="9"/>
        <v>0.18287769855926819</v>
      </c>
      <c r="R47" s="10"/>
      <c r="S47" s="10"/>
      <c r="T47" s="10"/>
    </row>
    <row r="48" spans="3:20" x14ac:dyDescent="0.25">
      <c r="C48" s="1">
        <f t="shared" si="0"/>
        <v>18.5</v>
      </c>
      <c r="D48" s="10"/>
      <c r="E48" s="10">
        <f t="shared" si="10"/>
        <v>0.41036553043954027</v>
      </c>
      <c r="F48" s="105">
        <f t="shared" si="11"/>
        <v>0.19425525921895428</v>
      </c>
      <c r="G48" s="40">
        <f t="shared" si="1"/>
        <v>0.9712762960947714</v>
      </c>
      <c r="H48">
        <f t="shared" si="2"/>
        <v>5.8207310608790808</v>
      </c>
      <c r="I48">
        <f t="shared" si="3"/>
        <v>0.16686500130931725</v>
      </c>
      <c r="J48">
        <f t="shared" si="4"/>
        <v>2.0591463088736304</v>
      </c>
      <c r="K48">
        <f t="shared" si="5"/>
        <v>0.21611027122058596</v>
      </c>
      <c r="L48">
        <f t="shared" si="6"/>
        <v>9.7134031788359953E-3</v>
      </c>
      <c r="M48" s="15" t="s">
        <v>79</v>
      </c>
      <c r="N48">
        <f t="shared" si="7"/>
        <v>-1.225013336467744</v>
      </c>
      <c r="O48" s="2"/>
      <c r="P48" s="104">
        <f t="shared" si="8"/>
        <v>0.25360062824673085</v>
      </c>
      <c r="Q48" s="138">
        <f t="shared" si="9"/>
        <v>0.18287769855926819</v>
      </c>
      <c r="R48" s="10"/>
      <c r="S48" s="10"/>
      <c r="T48" s="10"/>
    </row>
    <row r="49" spans="3:20" x14ac:dyDescent="0.25">
      <c r="C49" s="1">
        <f t="shared" si="0"/>
        <v>19</v>
      </c>
      <c r="D49" s="10"/>
      <c r="E49" s="10">
        <f t="shared" si="10"/>
        <v>0.41050906413879862</v>
      </c>
      <c r="F49" s="105">
        <f t="shared" si="11"/>
        <v>0.19413828219812021</v>
      </c>
      <c r="G49" s="40">
        <f t="shared" si="1"/>
        <v>0.97069141099060108</v>
      </c>
      <c r="H49">
        <f t="shared" si="2"/>
        <v>5.821018128277597</v>
      </c>
      <c r="I49">
        <f t="shared" si="3"/>
        <v>0.16675629410517273</v>
      </c>
      <c r="J49">
        <f t="shared" si="4"/>
        <v>2.0603870368637325</v>
      </c>
      <c r="K49">
        <f t="shared" si="5"/>
        <v>0.21637078194067844</v>
      </c>
      <c r="L49">
        <f t="shared" si="6"/>
        <v>9.7314519566596078E-3</v>
      </c>
      <c r="M49" s="15" t="s">
        <v>79</v>
      </c>
      <c r="N49">
        <f t="shared" si="7"/>
        <v>-1.2290377713332163</v>
      </c>
      <c r="O49" s="2"/>
      <c r="P49" s="104">
        <f t="shared" si="8"/>
        <v>0.25360062824673085</v>
      </c>
      <c r="Q49" s="138">
        <f t="shared" si="9"/>
        <v>0.18287769855926819</v>
      </c>
      <c r="R49" s="10"/>
      <c r="S49" s="10"/>
      <c r="T49" s="10"/>
    </row>
    <row r="50" spans="3:20" x14ac:dyDescent="0.25">
      <c r="C50" s="1">
        <f t="shared" si="0"/>
        <v>19.5</v>
      </c>
      <c r="D50" s="10"/>
      <c r="E50" s="10">
        <f t="shared" si="10"/>
        <v>0.41064354388070323</v>
      </c>
      <c r="F50" s="105">
        <f t="shared" si="11"/>
        <v>0.19402903085955106</v>
      </c>
      <c r="G50" s="40">
        <f t="shared" si="1"/>
        <v>0.97014515429775527</v>
      </c>
      <c r="H50">
        <f t="shared" si="2"/>
        <v>5.8212870877614069</v>
      </c>
      <c r="I50">
        <f t="shared" si="3"/>
        <v>0.16665475171931907</v>
      </c>
      <c r="J50">
        <f t="shared" si="4"/>
        <v>2.0615471727503607</v>
      </c>
      <c r="K50">
        <f t="shared" si="5"/>
        <v>0.21661451302115214</v>
      </c>
      <c r="L50">
        <f t="shared" si="6"/>
        <v>9.7483499924131602E-3</v>
      </c>
      <c r="M50" s="15" t="s">
        <v>79</v>
      </c>
      <c r="N50">
        <f t="shared" si="7"/>
        <v>-1.2328051844772627</v>
      </c>
      <c r="O50" s="2"/>
      <c r="P50" s="104">
        <f t="shared" si="8"/>
        <v>0.25360062824673085</v>
      </c>
      <c r="Q50" s="138">
        <f t="shared" si="9"/>
        <v>0.18287769855926819</v>
      </c>
      <c r="R50" s="10"/>
      <c r="S50" s="10"/>
      <c r="T50" s="10"/>
    </row>
    <row r="51" spans="3:20" x14ac:dyDescent="0.25">
      <c r="C51" s="1">
        <f t="shared" si="0"/>
        <v>20</v>
      </c>
      <c r="D51" s="10"/>
      <c r="E51" s="10">
        <f t="shared" si="10"/>
        <v>0.41076954882340005</v>
      </c>
      <c r="F51" s="105">
        <f t="shared" si="11"/>
        <v>0.19392696687946911</v>
      </c>
      <c r="G51" s="40">
        <f t="shared" si="1"/>
        <v>0.96963483439734555</v>
      </c>
      <c r="H51">
        <f t="shared" si="2"/>
        <v>5.8215390976468004</v>
      </c>
      <c r="I51">
        <f t="shared" si="3"/>
        <v>0.16655987671529926</v>
      </c>
      <c r="J51">
        <f t="shared" si="4"/>
        <v>2.0626321673385988</v>
      </c>
      <c r="K51">
        <f t="shared" si="5"/>
        <v>0.21684258194393094</v>
      </c>
      <c r="L51">
        <f t="shared" si="6"/>
        <v>9.7641724805029081E-3</v>
      </c>
      <c r="M51" s="15" t="s">
        <v>79</v>
      </c>
      <c r="N51">
        <f t="shared" si="7"/>
        <v>-1.2363324238315392</v>
      </c>
      <c r="O51" s="2"/>
      <c r="P51" s="104">
        <f t="shared" si="8"/>
        <v>0.25360062824673085</v>
      </c>
      <c r="Q51" s="138">
        <f t="shared" si="9"/>
        <v>0.18287769855926819</v>
      </c>
      <c r="R51" s="10"/>
      <c r="S51" s="10"/>
      <c r="T51" s="10"/>
    </row>
    <row r="52" spans="3:20" x14ac:dyDescent="0.25">
      <c r="C52" s="1">
        <f t="shared" si="0"/>
        <v>20.5</v>
      </c>
      <c r="D52" s="10"/>
      <c r="E52" s="10">
        <f t="shared" si="10"/>
        <v>0.41088762002954882</v>
      </c>
      <c r="F52" s="105">
        <f t="shared" si="11"/>
        <v>0.19383159304838968</v>
      </c>
      <c r="G52" s="40">
        <f t="shared" si="1"/>
        <v>0.96915796524194842</v>
      </c>
      <c r="H52">
        <f t="shared" si="2"/>
        <v>5.8217752400590976</v>
      </c>
      <c r="I52">
        <f t="shared" si="3"/>
        <v>0.16647120942994534</v>
      </c>
      <c r="J52">
        <f t="shared" si="4"/>
        <v>2.0636470748096301</v>
      </c>
      <c r="K52">
        <f t="shared" si="5"/>
        <v>0.21705602698115914</v>
      </c>
      <c r="L52">
        <f t="shared" si="6"/>
        <v>9.778989459698479E-3</v>
      </c>
      <c r="M52" s="15" t="s">
        <v>79</v>
      </c>
      <c r="N52">
        <f t="shared" si="7"/>
        <v>-1.2396351757473458</v>
      </c>
      <c r="O52" s="2"/>
      <c r="P52" s="104">
        <f t="shared" si="8"/>
        <v>0.25360062824673085</v>
      </c>
      <c r="Q52" s="138">
        <f t="shared" si="9"/>
        <v>0.18287769855926819</v>
      </c>
      <c r="R52" s="10"/>
      <c r="S52" s="10"/>
      <c r="T52" s="10"/>
    </row>
    <row r="53" spans="3:20" x14ac:dyDescent="0.25">
      <c r="C53" s="1">
        <f t="shared" si="0"/>
        <v>21</v>
      </c>
      <c r="D53" s="10"/>
      <c r="E53" s="10">
        <f t="shared" si="10"/>
        <v>0.41099826311218157</v>
      </c>
      <c r="F53" s="105">
        <f t="shared" si="11"/>
        <v>0.19374244966789134</v>
      </c>
      <c r="G53" s="40">
        <f t="shared" si="1"/>
        <v>0.96871224833945668</v>
      </c>
      <c r="H53">
        <f t="shared" si="2"/>
        <v>5.8219965262243631</v>
      </c>
      <c r="I53">
        <f t="shared" si="3"/>
        <v>0.16638832468827985</v>
      </c>
      <c r="J53">
        <f t="shared" si="4"/>
        <v>2.0645965852381365</v>
      </c>
      <c r="K53">
        <f t="shared" si="5"/>
        <v>0.21725581344429021</v>
      </c>
      <c r="L53">
        <f t="shared" si="6"/>
        <v>9.7928661995053453E-3</v>
      </c>
      <c r="M53" s="15" t="s">
        <v>79</v>
      </c>
      <c r="N53">
        <f t="shared" si="7"/>
        <v>-1.2427280528010756</v>
      </c>
      <c r="O53" s="2"/>
      <c r="P53" s="104">
        <f t="shared" si="8"/>
        <v>0.25360062824673085</v>
      </c>
      <c r="Q53" s="138">
        <f t="shared" si="9"/>
        <v>0.18287769855926819</v>
      </c>
      <c r="R53" s="10"/>
      <c r="S53" s="10"/>
      <c r="T53" s="10"/>
    </row>
    <row r="54" spans="3:20" x14ac:dyDescent="0.25">
      <c r="C54" s="1">
        <f t="shared" si="0"/>
        <v>21.5</v>
      </c>
      <c r="D54" s="10"/>
      <c r="E54" s="10">
        <f t="shared" si="10"/>
        <v>0.41110195067761435</v>
      </c>
      <c r="F54" s="105">
        <f t="shared" si="11"/>
        <v>0.19365911132205302</v>
      </c>
      <c r="G54" s="40">
        <f t="shared" si="1"/>
        <v>0.96829555661026512</v>
      </c>
      <c r="H54">
        <f t="shared" si="2"/>
        <v>5.8222039013552287</v>
      </c>
      <c r="I54">
        <f t="shared" si="3"/>
        <v>0.16631082885724355</v>
      </c>
      <c r="J54">
        <f t="shared" si="4"/>
        <v>2.0654850539658023</v>
      </c>
      <c r="K54">
        <f t="shared" si="5"/>
        <v>0.21744283935556133</v>
      </c>
      <c r="L54">
        <f t="shared" si="6"/>
        <v>9.8058635530375478E-3</v>
      </c>
      <c r="M54" s="15" t="s">
        <v>79</v>
      </c>
      <c r="N54">
        <f t="shared" si="7"/>
        <v>-1.2456246739039942</v>
      </c>
      <c r="O54" s="2"/>
      <c r="P54" s="104">
        <f t="shared" si="8"/>
        <v>0.25360062824673085</v>
      </c>
      <c r="Q54" s="138">
        <f t="shared" si="9"/>
        <v>0.18287769855926819</v>
      </c>
      <c r="R54" s="10"/>
      <c r="S54" s="10"/>
      <c r="T54" s="10"/>
    </row>
    <row r="55" spans="3:20" x14ac:dyDescent="0.25">
      <c r="C55" s="1">
        <f t="shared" si="0"/>
        <v>22</v>
      </c>
      <c r="D55" s="10"/>
      <c r="E55" s="10">
        <f t="shared" si="10"/>
        <v>0.4111991245836541</v>
      </c>
      <c r="F55" s="105">
        <f t="shared" si="11"/>
        <v>0.19358118397723173</v>
      </c>
      <c r="G55" s="40">
        <f t="shared" si="1"/>
        <v>0.96790591988615859</v>
      </c>
      <c r="H55">
        <f t="shared" si="2"/>
        <v>5.8223982491673079</v>
      </c>
      <c r="I55">
        <f t="shared" si="3"/>
        <v>0.16623835719663868</v>
      </c>
      <c r="J55">
        <f t="shared" si="4"/>
        <v>2.0663165281964928</v>
      </c>
      <c r="K55">
        <f t="shared" si="5"/>
        <v>0.21761794060642237</v>
      </c>
      <c r="L55">
        <f t="shared" si="6"/>
        <v>9.8180382799233374E-3</v>
      </c>
      <c r="M55" s="15" t="s">
        <v>79</v>
      </c>
      <c r="N55">
        <f t="shared" si="7"/>
        <v>-1.2483377375356666</v>
      </c>
      <c r="O55" s="2"/>
      <c r="P55" s="104">
        <f t="shared" si="8"/>
        <v>0.25360062824673085</v>
      </c>
      <c r="Q55" s="138">
        <f t="shared" si="9"/>
        <v>0.18287769855926819</v>
      </c>
      <c r="R55" s="10"/>
      <c r="S55" s="10"/>
      <c r="T55" s="10"/>
    </row>
    <row r="56" spans="3:20" x14ac:dyDescent="0.25">
      <c r="C56" s="1">
        <f t="shared" si="0"/>
        <v>22.5</v>
      </c>
      <c r="D56" s="10"/>
      <c r="E56" s="10">
        <f t="shared" si="10"/>
        <v>0.41129019802932598</v>
      </c>
      <c r="F56" s="105">
        <f t="shared" si="11"/>
        <v>0.19350830237051372</v>
      </c>
      <c r="G56" s="40">
        <f t="shared" si="1"/>
        <v>0.96754151185256865</v>
      </c>
      <c r="H56">
        <f t="shared" si="2"/>
        <v>5.822580396058652</v>
      </c>
      <c r="I56">
        <f t="shared" si="3"/>
        <v>0.16617057147162875</v>
      </c>
      <c r="J56">
        <f t="shared" si="4"/>
        <v>2.0670947711282848</v>
      </c>
      <c r="K56">
        <f t="shared" si="5"/>
        <v>0.21778189565881223</v>
      </c>
      <c r="L56">
        <f t="shared" si="6"/>
        <v>9.8294433423186806E-3</v>
      </c>
      <c r="M56" s="15" t="s">
        <v>79</v>
      </c>
      <c r="N56">
        <f t="shared" si="7"/>
        <v>-1.250879088813682</v>
      </c>
      <c r="O56" s="2"/>
      <c r="P56" s="104">
        <f t="shared" si="8"/>
        <v>0.25360062824673085</v>
      </c>
      <c r="Q56" s="138">
        <f t="shared" si="9"/>
        <v>0.18287769855926819</v>
      </c>
      <c r="R56" s="10"/>
      <c r="S56" s="10"/>
      <c r="T56" s="10"/>
    </row>
    <row r="57" spans="3:20" x14ac:dyDescent="0.25">
      <c r="C57" s="1">
        <f t="shared" si="0"/>
        <v>23</v>
      </c>
      <c r="D57" s="10"/>
      <c r="E57" s="10">
        <f t="shared" ref="E57:E100" si="12">$F57+K57</f>
        <v>0.41137555749061266</v>
      </c>
      <c r="F57" s="105">
        <f t="shared" ref="F57:F100" si="13">F56+($B$19*($B$14-L56)/N56)</f>
        <v>0.1934401276527466</v>
      </c>
      <c r="G57" s="40">
        <f t="shared" si="1"/>
        <v>0.96720063826373304</v>
      </c>
      <c r="H57">
        <f t="shared" ref="H57:H100" si="14">($B$10+2*E57)</f>
        <v>5.8227511149812257</v>
      </c>
      <c r="I57">
        <f t="shared" ref="I57:I100" si="15">G57/H57</f>
        <v>0.16610715779612223</v>
      </c>
      <c r="J57">
        <f t="shared" ref="J57:J100" si="16">$B$13/(G57)</f>
        <v>2.0678232838951525</v>
      </c>
      <c r="K57">
        <f t="shared" ref="K57:K100" si="17">J57^2/(2*9.81)</f>
        <v>0.21793542983786607</v>
      </c>
      <c r="L57">
        <f t="shared" ref="L57:L100" si="18">$B$16*K57/(4*I57)</f>
        <v>9.8401281767169762E-3</v>
      </c>
      <c r="M57" s="15" t="s">
        <v>79</v>
      </c>
      <c r="N57">
        <f t="shared" ref="N57:N100" si="19">1-$B$10*$B$13^2/(G57^3*9.81)</f>
        <v>-1.2532597810221895</v>
      </c>
      <c r="O57" s="2"/>
      <c r="P57" s="104">
        <f t="shared" si="8"/>
        <v>0.25360062824673085</v>
      </c>
      <c r="Q57" s="138">
        <f t="shared" si="9"/>
        <v>0.18287769855926819</v>
      </c>
      <c r="R57" s="10"/>
      <c r="S57" s="10"/>
      <c r="T57" s="10"/>
    </row>
    <row r="58" spans="3:20" x14ac:dyDescent="0.25">
      <c r="C58" s="1">
        <f t="shared" si="0"/>
        <v>23.5</v>
      </c>
      <c r="D58" s="10"/>
      <c r="E58" s="10">
        <f t="shared" si="12"/>
        <v>0.4114555645151855</v>
      </c>
      <c r="F58" s="105">
        <f t="shared" si="13"/>
        <v>0.1933763452567486</v>
      </c>
      <c r="G58" s="40">
        <f t="shared" si="1"/>
        <v>0.96688172628374303</v>
      </c>
      <c r="H58">
        <f t="shared" si="14"/>
        <v>5.8229111290303708</v>
      </c>
      <c r="I58">
        <f t="shared" si="15"/>
        <v>0.16604782468056453</v>
      </c>
      <c r="J58">
        <f t="shared" si="16"/>
        <v>2.0685053255552748</v>
      </c>
      <c r="K58">
        <f t="shared" si="17"/>
        <v>0.21807921925843693</v>
      </c>
      <c r="L58">
        <f t="shared" si="18"/>
        <v>9.8501389439142641E-3</v>
      </c>
      <c r="M58" s="15" t="s">
        <v>79</v>
      </c>
      <c r="N58">
        <f t="shared" si="19"/>
        <v>-1.2554901321450664</v>
      </c>
      <c r="O58" s="2"/>
      <c r="P58" s="104">
        <f t="shared" si="8"/>
        <v>0.25360062824673085</v>
      </c>
      <c r="Q58" s="138">
        <f t="shared" si="9"/>
        <v>0.18287769855926819</v>
      </c>
      <c r="R58" s="10"/>
      <c r="S58" s="10"/>
      <c r="T58" s="10"/>
    </row>
    <row r="59" spans="3:20" x14ac:dyDescent="0.25">
      <c r="C59" s="1">
        <f t="shared" si="0"/>
        <v>24</v>
      </c>
      <c r="D59" s="10"/>
      <c r="E59" s="10">
        <f t="shared" si="12"/>
        <v>0.41153055738778932</v>
      </c>
      <c r="F59" s="105">
        <f t="shared" si="13"/>
        <v>0.19331666296524797</v>
      </c>
      <c r="G59" s="40">
        <f t="shared" si="1"/>
        <v>0.96658331482623983</v>
      </c>
      <c r="H59">
        <f t="shared" si="14"/>
        <v>5.8230611147755784</v>
      </c>
      <c r="I59">
        <f t="shared" si="15"/>
        <v>0.16599230126120565</v>
      </c>
      <c r="J59">
        <f t="shared" si="16"/>
        <v>2.0691439313325359</v>
      </c>
      <c r="K59">
        <f t="shared" si="17"/>
        <v>0.21821389442254138</v>
      </c>
      <c r="L59">
        <f t="shared" si="18"/>
        <v>9.8595187592085878E-3</v>
      </c>
      <c r="M59" s="15" t="s">
        <v>79</v>
      </c>
      <c r="N59">
        <f t="shared" si="19"/>
        <v>-1.2575797768842008</v>
      </c>
      <c r="O59" s="2"/>
      <c r="P59" s="104">
        <f t="shared" si="8"/>
        <v>0.25360062824673085</v>
      </c>
      <c r="Q59" s="138">
        <f t="shared" si="9"/>
        <v>0.18287769855926819</v>
      </c>
      <c r="R59" s="10"/>
      <c r="S59" s="10"/>
      <c r="T59" s="10"/>
    </row>
    <row r="60" spans="3:20" x14ac:dyDescent="0.25">
      <c r="C60" s="1">
        <f t="shared" si="0"/>
        <v>24.5</v>
      </c>
      <c r="D60" s="10"/>
      <c r="E60" s="10">
        <f t="shared" si="12"/>
        <v>0.41160085267679047</v>
      </c>
      <c r="F60" s="105">
        <f t="shared" si="13"/>
        <v>0.19326080915645841</v>
      </c>
      <c r="G60" s="40">
        <f t="shared" si="1"/>
        <v>0.96630404578229201</v>
      </c>
      <c r="H60">
        <f t="shared" si="14"/>
        <v>5.8232017053535809</v>
      </c>
      <c r="I60">
        <f t="shared" si="15"/>
        <v>0.16594033569091673</v>
      </c>
      <c r="J60">
        <f t="shared" si="16"/>
        <v>2.0697419292918902</v>
      </c>
      <c r="K60">
        <f t="shared" si="17"/>
        <v>0.21834004352033207</v>
      </c>
      <c r="L60">
        <f t="shared" si="18"/>
        <v>9.868307904671348E-3</v>
      </c>
      <c r="M60" s="15" t="s">
        <v>79</v>
      </c>
      <c r="N60">
        <f t="shared" si="19"/>
        <v>-1.2595377145872373</v>
      </c>
      <c r="O60" s="2"/>
      <c r="P60" s="104">
        <f t="shared" si="8"/>
        <v>0.25360062824673085</v>
      </c>
      <c r="Q60" s="138">
        <f t="shared" si="9"/>
        <v>0.18287769855926819</v>
      </c>
      <c r="R60" s="10"/>
      <c r="S60" s="10"/>
      <c r="T60" s="10"/>
    </row>
    <row r="61" spans="3:20" x14ac:dyDescent="0.25">
      <c r="C61" s="1">
        <f t="shared" si="0"/>
        <v>25</v>
      </c>
      <c r="D61" s="10"/>
      <c r="E61" s="10">
        <f t="shared" si="12"/>
        <v>0.41166674667138364</v>
      </c>
      <c r="F61" s="105">
        <f t="shared" si="13"/>
        <v>0.19320853120804787</v>
      </c>
      <c r="G61" s="40">
        <f t="shared" si="1"/>
        <v>0.96604265604023931</v>
      </c>
      <c r="H61">
        <f t="shared" si="14"/>
        <v>5.8233334933427674</v>
      </c>
      <c r="I61">
        <f t="shared" si="15"/>
        <v>0.16589169367418488</v>
      </c>
      <c r="J61">
        <f t="shared" si="16"/>
        <v>2.0703019556071158</v>
      </c>
      <c r="K61">
        <f t="shared" si="17"/>
        <v>0.21845821546333577</v>
      </c>
      <c r="L61">
        <f t="shared" si="18"/>
        <v>9.8765440251212672E-3</v>
      </c>
      <c r="M61" s="15" t="s">
        <v>79</v>
      </c>
      <c r="N61">
        <f t="shared" si="19"/>
        <v>-1.2613723534609242</v>
      </c>
      <c r="O61" s="2"/>
      <c r="P61" s="104">
        <f t="shared" si="8"/>
        <v>0.25360062824673085</v>
      </c>
      <c r="Q61" s="138">
        <f t="shared" si="9"/>
        <v>0.18287769855926819</v>
      </c>
      <c r="R61" s="10"/>
      <c r="S61" s="10"/>
      <c r="T61" s="10"/>
    </row>
    <row r="62" spans="3:20" x14ac:dyDescent="0.25">
      <c r="C62" s="1">
        <f t="shared" si="0"/>
        <v>25.5</v>
      </c>
      <c r="D62" s="10"/>
      <c r="E62" s="10">
        <f t="shared" si="12"/>
        <v>0.41172851671805599</v>
      </c>
      <c r="F62" s="105">
        <f t="shared" si="13"/>
        <v>0.19315959404268984</v>
      </c>
      <c r="G62" s="40">
        <f t="shared" si="1"/>
        <v>0.96579797021344915</v>
      </c>
      <c r="H62">
        <f t="shared" si="14"/>
        <v>5.823457033436112</v>
      </c>
      <c r="I62">
        <f t="shared" si="15"/>
        <v>0.16584615713109901</v>
      </c>
      <c r="J62">
        <f t="shared" si="16"/>
        <v>2.0708264685604836</v>
      </c>
      <c r="K62">
        <f t="shared" si="17"/>
        <v>0.21856892267536612</v>
      </c>
      <c r="L62">
        <f t="shared" si="18"/>
        <v>9.8842623092522362E-3</v>
      </c>
      <c r="M62" s="15" t="s">
        <v>79</v>
      </c>
      <c r="N62">
        <f t="shared" si="19"/>
        <v>-1.2630915514044889</v>
      </c>
      <c r="O62" s="2"/>
      <c r="P62" s="104">
        <f t="shared" si="8"/>
        <v>0.25360062824673085</v>
      </c>
      <c r="Q62" s="138">
        <f t="shared" si="9"/>
        <v>0.18287769855926819</v>
      </c>
      <c r="R62" s="10"/>
      <c r="S62" s="10"/>
      <c r="T62" s="10"/>
    </row>
    <row r="63" spans="3:20" x14ac:dyDescent="0.25">
      <c r="C63" s="1">
        <f t="shared" si="0"/>
        <v>26</v>
      </c>
      <c r="D63" s="10"/>
      <c r="E63" s="10">
        <f t="shared" si="12"/>
        <v>0.41178642246411556</v>
      </c>
      <c r="F63" s="105">
        <f t="shared" si="13"/>
        <v>0.19311377880046965</v>
      </c>
      <c r="G63" s="40">
        <f t="shared" si="1"/>
        <v>0.96556889400234824</v>
      </c>
      <c r="H63">
        <f t="shared" si="14"/>
        <v>5.8235728449282309</v>
      </c>
      <c r="I63">
        <f t="shared" si="15"/>
        <v>0.16580352297700979</v>
      </c>
      <c r="J63">
        <f t="shared" si="16"/>
        <v>2.0713177613974958</v>
      </c>
      <c r="K63">
        <f t="shared" si="17"/>
        <v>0.21867264366364592</v>
      </c>
      <c r="L63">
        <f t="shared" si="18"/>
        <v>9.891495657210805E-3</v>
      </c>
      <c r="M63" s="15" t="s">
        <v>79</v>
      </c>
      <c r="N63">
        <f t="shared" si="19"/>
        <v>-1.2647026537612773</v>
      </c>
      <c r="O63" s="2"/>
      <c r="P63" s="104">
        <f t="shared" si="8"/>
        <v>0.25360062824673085</v>
      </c>
      <c r="Q63" s="138">
        <f t="shared" si="9"/>
        <v>0.18287769855926819</v>
      </c>
      <c r="R63" s="10"/>
      <c r="S63" s="10"/>
      <c r="T63" s="10"/>
    </row>
    <row r="64" spans="3:20" x14ac:dyDescent="0.25">
      <c r="C64" s="1">
        <f t="shared" si="0"/>
        <v>26.5</v>
      </c>
      <c r="D64" s="10"/>
      <c r="E64" s="10">
        <f t="shared" si="12"/>
        <v>0.41184070701538922</v>
      </c>
      <c r="F64" s="105">
        <f t="shared" si="13"/>
        <v>0.19307088162520616</v>
      </c>
      <c r="G64" s="40">
        <f t="shared" si="1"/>
        <v>0.96535440812603079</v>
      </c>
      <c r="H64">
        <f t="shared" si="14"/>
        <v>5.8236814140307782</v>
      </c>
      <c r="I64">
        <f t="shared" si="15"/>
        <v>0.16576360200615345</v>
      </c>
      <c r="J64">
        <f t="shared" si="16"/>
        <v>2.0717779741457316</v>
      </c>
      <c r="K64">
        <f t="shared" si="17"/>
        <v>0.21876982539018308</v>
      </c>
      <c r="L64">
        <f t="shared" si="18"/>
        <v>9.8982748357836995E-3</v>
      </c>
      <c r="M64" s="15" t="s">
        <v>79</v>
      </c>
      <c r="N64">
        <f t="shared" si="19"/>
        <v>-1.2662125282554451</v>
      </c>
      <c r="O64" s="2"/>
      <c r="P64" s="104">
        <f t="shared" si="8"/>
        <v>0.25360062824673085</v>
      </c>
      <c r="Q64" s="138">
        <f t="shared" si="9"/>
        <v>0.18287769855926819</v>
      </c>
      <c r="R64" s="10"/>
      <c r="S64" s="10"/>
      <c r="T64" s="10"/>
    </row>
    <row r="65" spans="3:20" x14ac:dyDescent="0.25">
      <c r="C65" s="1">
        <f t="shared" si="0"/>
        <v>27</v>
      </c>
      <c r="D65" s="10"/>
      <c r="E65" s="10">
        <f t="shared" si="12"/>
        <v>0.4118915980145611</v>
      </c>
      <c r="F65" s="105">
        <f t="shared" si="13"/>
        <v>0.19303071255329038</v>
      </c>
      <c r="G65" s="40">
        <f t="shared" si="1"/>
        <v>0.96515356276645192</v>
      </c>
      <c r="H65">
        <f t="shared" si="14"/>
        <v>5.8237831960291224</v>
      </c>
      <c r="I65">
        <f t="shared" si="15"/>
        <v>0.16572621786891559</v>
      </c>
      <c r="J65">
        <f t="shared" si="16"/>
        <v>2.0722091044945565</v>
      </c>
      <c r="K65">
        <f t="shared" si="17"/>
        <v>0.21886088546127075</v>
      </c>
      <c r="L65">
        <f t="shared" si="18"/>
        <v>9.9046286222369048E-3</v>
      </c>
      <c r="M65" s="15" t="s">
        <v>79</v>
      </c>
      <c r="N65">
        <f t="shared" si="19"/>
        <v>-1.2676275973529276</v>
      </c>
      <c r="O65" s="2"/>
      <c r="P65" s="104">
        <f t="shared" si="8"/>
        <v>0.25360062824673085</v>
      </c>
      <c r="Q65" s="138">
        <f t="shared" si="9"/>
        <v>0.18287769855926819</v>
      </c>
      <c r="R65" s="10"/>
      <c r="S65" s="10"/>
      <c r="T65" s="10"/>
    </row>
    <row r="66" spans="3:20" x14ac:dyDescent="0.25">
      <c r="C66" s="1">
        <f t="shared" si="0"/>
        <v>27.5</v>
      </c>
      <c r="D66" s="10"/>
      <c r="E66" s="10">
        <f t="shared" si="12"/>
        <v>0.41193930864606954</v>
      </c>
      <c r="F66" s="105">
        <f t="shared" si="13"/>
        <v>0.19299309449497332</v>
      </c>
      <c r="G66" s="40">
        <f t="shared" si="1"/>
        <v>0.96496547247486664</v>
      </c>
      <c r="H66">
        <f t="shared" si="14"/>
        <v>5.8238786172921388</v>
      </c>
      <c r="I66">
        <f t="shared" si="15"/>
        <v>0.16569120613360849</v>
      </c>
      <c r="J66">
        <f t="shared" si="16"/>
        <v>2.0726130178218285</v>
      </c>
      <c r="K66">
        <f t="shared" si="17"/>
        <v>0.21894621415109619</v>
      </c>
      <c r="L66">
        <f t="shared" si="18"/>
        <v>9.9105839377443064E-3</v>
      </c>
      <c r="M66" s="15" t="s">
        <v>79</v>
      </c>
      <c r="N66">
        <f t="shared" si="19"/>
        <v>-1.2689538682618391</v>
      </c>
      <c r="O66" s="2"/>
      <c r="P66" s="104">
        <f t="shared" si="8"/>
        <v>0.25360062824673085</v>
      </c>
      <c r="Q66" s="138">
        <f t="shared" si="9"/>
        <v>0.18287769855926819</v>
      </c>
      <c r="R66" s="10"/>
      <c r="S66" s="10"/>
      <c r="T66" s="10"/>
    </row>
    <row r="67" spans="3:20" x14ac:dyDescent="0.25">
      <c r="C67" s="1">
        <f t="shared" si="0"/>
        <v>28</v>
      </c>
      <c r="D67" s="10"/>
      <c r="E67" s="10">
        <f t="shared" si="12"/>
        <v>0.41198403857297122</v>
      </c>
      <c r="F67" s="105">
        <f t="shared" si="13"/>
        <v>0.19295786229918901</v>
      </c>
      <c r="G67" s="40">
        <f t="shared" si="1"/>
        <v>0.96478931149594505</v>
      </c>
      <c r="H67">
        <f t="shared" si="14"/>
        <v>5.8239680771459428</v>
      </c>
      <c r="I67">
        <f t="shared" si="15"/>
        <v>0.1656584134246738</v>
      </c>
      <c r="J67">
        <f t="shared" si="16"/>
        <v>2.0729914564444321</v>
      </c>
      <c r="K67">
        <f t="shared" si="17"/>
        <v>0.21902617627378221</v>
      </c>
      <c r="L67">
        <f t="shared" si="18"/>
        <v>9.916165971252125E-3</v>
      </c>
      <c r="M67" s="15" t="s">
        <v>79</v>
      </c>
      <c r="N67">
        <f t="shared" si="19"/>
        <v>-1.270196960766214</v>
      </c>
      <c r="O67" s="2"/>
      <c r="P67" s="104">
        <f t="shared" si="8"/>
        <v>0.25360062824673085</v>
      </c>
      <c r="Q67" s="138">
        <f t="shared" si="9"/>
        <v>0.18287769855926819</v>
      </c>
      <c r="R67" s="10"/>
      <c r="S67" s="10"/>
      <c r="T67" s="10"/>
    </row>
    <row r="68" spans="3:20" x14ac:dyDescent="0.25">
      <c r="C68" s="1">
        <f t="shared" si="0"/>
        <v>28.5</v>
      </c>
      <c r="D68" s="10"/>
      <c r="E68" s="10">
        <f t="shared" si="12"/>
        <v>0.412025974810732</v>
      </c>
      <c r="F68" s="105">
        <f t="shared" si="13"/>
        <v>0.19292486189400096</v>
      </c>
      <c r="G68" s="40">
        <f t="shared" si="1"/>
        <v>0.96462430947000477</v>
      </c>
      <c r="H68">
        <f t="shared" si="14"/>
        <v>5.824051949621464</v>
      </c>
      <c r="I68">
        <f t="shared" si="15"/>
        <v>0.16562769663012722</v>
      </c>
      <c r="J68">
        <f t="shared" si="16"/>
        <v>2.0733460481613442</v>
      </c>
      <c r="K68">
        <f t="shared" si="17"/>
        <v>0.21910111291673101</v>
      </c>
      <c r="L68">
        <f t="shared" si="18"/>
        <v>9.9213982945445273E-3</v>
      </c>
      <c r="M68" s="15" t="s">
        <v>79</v>
      </c>
      <c r="N68">
        <f t="shared" si="19"/>
        <v>-1.2713621330682834</v>
      </c>
      <c r="O68" s="2"/>
      <c r="P68" s="104">
        <f t="shared" si="8"/>
        <v>0.25360062824673085</v>
      </c>
      <c r="Q68" s="138">
        <f t="shared" si="9"/>
        <v>0.18287769855926819</v>
      </c>
      <c r="R68" s="10"/>
      <c r="S68" s="10"/>
      <c r="T68" s="10"/>
    </row>
    <row r="69" spans="3:20" x14ac:dyDescent="0.25">
      <c r="C69" s="1">
        <f t="shared" si="0"/>
        <v>29</v>
      </c>
      <c r="D69" s="10"/>
      <c r="E69" s="10">
        <f t="shared" si="12"/>
        <v>0.41206529254249569</v>
      </c>
      <c r="F69" s="105">
        <f t="shared" si="13"/>
        <v>0.19289394949563268</v>
      </c>
      <c r="G69" s="40">
        <f t="shared" si="1"/>
        <v>0.96446974747816339</v>
      </c>
      <c r="H69">
        <f t="shared" si="14"/>
        <v>5.8241305850849914</v>
      </c>
      <c r="I69">
        <f t="shared" si="15"/>
        <v>0.16559892217184702</v>
      </c>
      <c r="J69">
        <f t="shared" si="16"/>
        <v>2.0736783141508357</v>
      </c>
      <c r="K69">
        <f t="shared" si="17"/>
        <v>0.21917134304686298</v>
      </c>
      <c r="L69">
        <f t="shared" si="18"/>
        <v>9.9263029692045132E-3</v>
      </c>
      <c r="M69" s="15" t="s">
        <v>79</v>
      </c>
      <c r="N69">
        <f t="shared" si="19"/>
        <v>-1.2724543057979663</v>
      </c>
      <c r="O69" s="2"/>
      <c r="P69" s="104">
        <f t="shared" si="8"/>
        <v>0.25360062824673085</v>
      </c>
      <c r="Q69" s="138">
        <f t="shared" si="9"/>
        <v>0.18287769855926819</v>
      </c>
      <c r="R69" s="10"/>
      <c r="S69" s="10"/>
      <c r="T69" s="10"/>
    </row>
    <row r="70" spans="3:20" x14ac:dyDescent="0.25">
      <c r="C70" s="1">
        <f t="shared" si="0"/>
        <v>29.5</v>
      </c>
      <c r="D70" s="10"/>
      <c r="E70" s="10">
        <f t="shared" si="12"/>
        <v>0.41210215588001431</v>
      </c>
      <c r="F70" s="105">
        <f t="shared" si="13"/>
        <v>0.19286499087980669</v>
      </c>
      <c r="G70" s="40">
        <f t="shared" si="1"/>
        <v>0.96432495439903343</v>
      </c>
      <c r="H70">
        <f t="shared" si="14"/>
        <v>5.8242043117600284</v>
      </c>
      <c r="I70">
        <f t="shared" si="15"/>
        <v>0.16557196533299878</v>
      </c>
      <c r="J70">
        <f t="shared" si="16"/>
        <v>2.0739896762771202</v>
      </c>
      <c r="K70">
        <f t="shared" si="17"/>
        <v>0.21923716500020762</v>
      </c>
      <c r="L70">
        <f t="shared" si="18"/>
        <v>9.9309006461001971E-3</v>
      </c>
      <c r="M70" s="15" t="s">
        <v>79</v>
      </c>
      <c r="N70">
        <f t="shared" si="19"/>
        <v>-1.2734780843334703</v>
      </c>
      <c r="O70" s="2"/>
      <c r="P70" s="104">
        <f t="shared" si="8"/>
        <v>0.25360062824673085</v>
      </c>
      <c r="Q70" s="138">
        <f t="shared" si="9"/>
        <v>0.18287769855926819</v>
      </c>
      <c r="R70" s="10"/>
      <c r="S70" s="10"/>
      <c r="T70" s="10"/>
    </row>
    <row r="71" spans="3:20" x14ac:dyDescent="0.25">
      <c r="C71" s="1">
        <f t="shared" si="0"/>
        <v>30</v>
      </c>
      <c r="D71" s="10"/>
      <c r="E71" s="10">
        <f t="shared" si="12"/>
        <v>0.41213671857409068</v>
      </c>
      <c r="F71" s="105">
        <f t="shared" si="13"/>
        <v>0.19283786070978262</v>
      </c>
      <c r="G71" s="40">
        <f t="shared" si="1"/>
        <v>0.96418930354891308</v>
      </c>
      <c r="H71">
        <f t="shared" si="14"/>
        <v>5.8242734371481815</v>
      </c>
      <c r="I71">
        <f t="shared" si="15"/>
        <v>0.16554670963748952</v>
      </c>
      <c r="J71">
        <f t="shared" si="16"/>
        <v>2.0742814638562734</v>
      </c>
      <c r="K71">
        <f t="shared" si="17"/>
        <v>0.21929885786430806</v>
      </c>
      <c r="L71">
        <f t="shared" si="18"/>
        <v>9.9352106579703586E-3</v>
      </c>
      <c r="M71" s="15" t="s">
        <v>79</v>
      </c>
      <c r="N71">
        <f t="shared" si="19"/>
        <v>-1.2744377795639283</v>
      </c>
      <c r="O71" s="2"/>
      <c r="P71" s="104">
        <f t="shared" si="8"/>
        <v>0.25360062824673085</v>
      </c>
      <c r="Q71" s="138">
        <f t="shared" si="9"/>
        <v>0.18287769855926819</v>
      </c>
      <c r="R71" s="10"/>
      <c r="S71" s="10"/>
      <c r="T71" s="10"/>
    </row>
    <row r="72" spans="3:20" x14ac:dyDescent="0.25">
      <c r="C72" s="1">
        <f t="shared" si="0"/>
        <v>30.5</v>
      </c>
      <c r="D72" s="10"/>
      <c r="E72" s="10">
        <f t="shared" si="12"/>
        <v>0.41216912467807965</v>
      </c>
      <c r="F72" s="105">
        <f t="shared" si="13"/>
        <v>0.19281244191607275</v>
      </c>
      <c r="G72" s="40">
        <f t="shared" si="1"/>
        <v>0.9640622095803637</v>
      </c>
      <c r="H72">
        <f t="shared" si="14"/>
        <v>5.8243382493561597</v>
      </c>
      <c r="I72">
        <f t="shared" si="15"/>
        <v>0.16552304627687689</v>
      </c>
      <c r="J72">
        <f t="shared" si="16"/>
        <v>2.0745549199263382</v>
      </c>
      <c r="K72">
        <f t="shared" si="17"/>
        <v>0.2193566827620069</v>
      </c>
      <c r="L72">
        <f t="shared" si="18"/>
        <v>9.9392511056321589E-3</v>
      </c>
      <c r="M72" s="15" t="s">
        <v>79</v>
      </c>
      <c r="N72">
        <f t="shared" si="19"/>
        <v>-1.2753374272132114</v>
      </c>
      <c r="O72" s="2"/>
      <c r="P72" s="104">
        <f t="shared" si="8"/>
        <v>0.25360062824673085</v>
      </c>
      <c r="Q72" s="138">
        <f t="shared" si="9"/>
        <v>0.18287769855926819</v>
      </c>
      <c r="R72" s="10"/>
      <c r="S72" s="10"/>
      <c r="T72" s="10"/>
    </row>
    <row r="73" spans="3:20" x14ac:dyDescent="0.25">
      <c r="C73" s="1">
        <f t="shared" si="0"/>
        <v>31</v>
      </c>
      <c r="D73" s="10"/>
      <c r="E73" s="10">
        <f t="shared" si="12"/>
        <v>0.4121995091677233</v>
      </c>
      <c r="F73" s="105">
        <f t="shared" si="13"/>
        <v>0.1927886251233277</v>
      </c>
      <c r="G73" s="40">
        <f t="shared" si="1"/>
        <v>0.96394312561663853</v>
      </c>
      <c r="H73">
        <f t="shared" si="14"/>
        <v>5.8243990183354466</v>
      </c>
      <c r="I73">
        <f t="shared" si="15"/>
        <v>0.16550087358062285</v>
      </c>
      <c r="J73">
        <f t="shared" si="16"/>
        <v>2.0748112070622335</v>
      </c>
      <c r="K73">
        <f t="shared" si="17"/>
        <v>0.21941088404439563</v>
      </c>
      <c r="L73">
        <f t="shared" si="18"/>
        <v>9.9430389382889339E-3</v>
      </c>
      <c r="M73" s="15" t="s">
        <v>79</v>
      </c>
      <c r="N73">
        <f t="shared" si="19"/>
        <v>-1.2761808058337212</v>
      </c>
      <c r="O73" s="2"/>
      <c r="P73" s="104">
        <f t="shared" si="8"/>
        <v>0.25360062824673085</v>
      </c>
      <c r="Q73" s="138">
        <f t="shared" si="9"/>
        <v>0.18287769855926819</v>
      </c>
      <c r="R73" s="10"/>
      <c r="S73" s="10"/>
      <c r="T73" s="10"/>
    </row>
    <row r="74" spans="3:20" x14ac:dyDescent="0.25">
      <c r="C74" s="1">
        <f t="shared" si="0"/>
        <v>31.5</v>
      </c>
      <c r="D74" s="10"/>
      <c r="E74" s="10">
        <f t="shared" si="12"/>
        <v>0.41222799852034187</v>
      </c>
      <c r="F74" s="105">
        <f t="shared" si="13"/>
        <v>0.19276630812034087</v>
      </c>
      <c r="G74" s="40">
        <f t="shared" si="1"/>
        <v>0.9638315406017044</v>
      </c>
      <c r="H74">
        <f t="shared" si="14"/>
        <v>5.8244559970406833</v>
      </c>
      <c r="I74">
        <f t="shared" si="15"/>
        <v>0.1654800965259953</v>
      </c>
      <c r="J74">
        <f t="shared" si="16"/>
        <v>2.0750514127722282</v>
      </c>
      <c r="K74">
        <f t="shared" si="17"/>
        <v>0.21946169040000099</v>
      </c>
      <c r="L74">
        <f t="shared" si="18"/>
        <v>9.9465900283750609E-3</v>
      </c>
      <c r="M74" s="15" t="s">
        <v>79</v>
      </c>
      <c r="N74">
        <f t="shared" si="19"/>
        <v>-1.2769714535695176</v>
      </c>
      <c r="O74" s="2"/>
      <c r="P74" s="104">
        <f t="shared" si="8"/>
        <v>0.25360062824673085</v>
      </c>
      <c r="Q74" s="138">
        <f t="shared" si="9"/>
        <v>0.18287769855926819</v>
      </c>
      <c r="R74" s="10"/>
      <c r="S74" s="10"/>
      <c r="T74" s="10"/>
    </row>
    <row r="75" spans="3:20" x14ac:dyDescent="0.25">
      <c r="C75" s="1">
        <f t="shared" si="0"/>
        <v>32</v>
      </c>
      <c r="D75" s="10"/>
      <c r="E75" s="10">
        <f t="shared" si="12"/>
        <v>0.41225471125617519</v>
      </c>
      <c r="F75" s="105">
        <f t="shared" si="13"/>
        <v>0.19274539536952109</v>
      </c>
      <c r="G75" s="40">
        <f t="shared" si="1"/>
        <v>0.96372697684760544</v>
      </c>
      <c r="H75">
        <f t="shared" si="14"/>
        <v>5.8245094225123504</v>
      </c>
      <c r="I75">
        <f t="shared" si="15"/>
        <v>0.16546062628428376</v>
      </c>
      <c r="J75">
        <f t="shared" si="16"/>
        <v>2.075276554509339</v>
      </c>
      <c r="K75">
        <f t="shared" si="17"/>
        <v>0.21950931588665409</v>
      </c>
      <c r="L75">
        <f t="shared" si="18"/>
        <v>9.9499192413384507E-3</v>
      </c>
      <c r="M75" s="15" t="s">
        <v>79</v>
      </c>
      <c r="N75">
        <f t="shared" si="19"/>
        <v>-1.2777126837797876</v>
      </c>
      <c r="O75" s="2"/>
      <c r="P75" s="104">
        <f t="shared" si="8"/>
        <v>0.25360062824673085</v>
      </c>
      <c r="Q75" s="138">
        <f t="shared" si="9"/>
        <v>0.18287769855926819</v>
      </c>
      <c r="R75" s="10"/>
      <c r="S75" s="10"/>
      <c r="T75" s="10"/>
    </row>
    <row r="76" spans="3:20" x14ac:dyDescent="0.25">
      <c r="C76" s="1">
        <f t="shared" ref="C76:C100" si="20">C75+$B$19</f>
        <v>32.5</v>
      </c>
      <c r="D76" s="10"/>
      <c r="E76" s="10">
        <f t="shared" si="12"/>
        <v>0.41227975844446085</v>
      </c>
      <c r="F76" s="105">
        <f t="shared" si="13"/>
        <v>0.1927257975525403</v>
      </c>
      <c r="G76" s="40">
        <f t="shared" ref="G76:G100" si="21">$B$10*F76</f>
        <v>0.96362898776270145</v>
      </c>
      <c r="H76">
        <f t="shared" si="14"/>
        <v>5.8245595168889217</v>
      </c>
      <c r="I76">
        <f t="shared" si="15"/>
        <v>0.16544237980031934</v>
      </c>
      <c r="J76">
        <f t="shared" si="16"/>
        <v>2.075487584327953</v>
      </c>
      <c r="K76">
        <f t="shared" si="17"/>
        <v>0.21955396089192059</v>
      </c>
      <c r="L76">
        <f t="shared" si="18"/>
        <v>9.9530405007280109E-3</v>
      </c>
      <c r="M76" s="15" t="s">
        <v>79</v>
      </c>
      <c r="N76">
        <f t="shared" si="19"/>
        <v>-1.2784075996060311</v>
      </c>
      <c r="O76" s="2"/>
      <c r="P76" s="104">
        <f t="shared" ref="P76:P100" si="22">($B$13^2/($B$10^2*9.81))^(1/3)</f>
        <v>0.25360062824673085</v>
      </c>
      <c r="Q76" s="138">
        <f t="shared" ref="Q76:Q100" si="23">($B$16*$B$13^2/(8*9.81*$B$10^2*$B$14))^(1/3)</f>
        <v>0.18287769855926819</v>
      </c>
      <c r="R76" s="10"/>
      <c r="S76" s="10"/>
      <c r="T76" s="10"/>
    </row>
    <row r="77" spans="3:20" x14ac:dyDescent="0.25">
      <c r="C77" s="1">
        <f t="shared" si="20"/>
        <v>33</v>
      </c>
      <c r="D77" s="10"/>
      <c r="E77" s="10">
        <f t="shared" si="12"/>
        <v>0.41230324417664571</v>
      </c>
      <c r="F77" s="105">
        <f t="shared" si="13"/>
        <v>0.19270743114917785</v>
      </c>
      <c r="G77" s="40">
        <f t="shared" si="21"/>
        <v>0.96353715574588927</v>
      </c>
      <c r="H77">
        <f t="shared" si="14"/>
        <v>5.8246064883532913</v>
      </c>
      <c r="I77">
        <f t="shared" si="15"/>
        <v>0.16542527940257412</v>
      </c>
      <c r="J77">
        <f t="shared" si="16"/>
        <v>2.0756853932132682</v>
      </c>
      <c r="K77">
        <f t="shared" si="17"/>
        <v>0.21959581302746786</v>
      </c>
      <c r="L77">
        <f t="shared" si="18"/>
        <v>9.9559668489239452E-3</v>
      </c>
      <c r="M77" s="15" t="s">
        <v>79</v>
      </c>
      <c r="N77">
        <f t="shared" si="19"/>
        <v>-1.2790591075595343</v>
      </c>
      <c r="O77" s="2"/>
      <c r="P77" s="104">
        <f t="shared" si="22"/>
        <v>0.25360062824673085</v>
      </c>
      <c r="Q77" s="138">
        <f t="shared" si="23"/>
        <v>0.18287769855926819</v>
      </c>
      <c r="R77" s="10"/>
      <c r="S77" s="10"/>
      <c r="T77" s="10"/>
    </row>
    <row r="78" spans="3:20" x14ac:dyDescent="0.25">
      <c r="C78" s="1">
        <f t="shared" si="20"/>
        <v>33.5</v>
      </c>
      <c r="D78" s="10"/>
      <c r="E78" s="10">
        <f t="shared" si="12"/>
        <v>0.41232526600894703</v>
      </c>
      <c r="F78" s="105">
        <f t="shared" si="13"/>
        <v>0.19269021804666531</v>
      </c>
      <c r="G78" s="40">
        <f t="shared" si="21"/>
        <v>0.96345109023332653</v>
      </c>
      <c r="H78">
        <f t="shared" si="14"/>
        <v>5.8246505320178938</v>
      </c>
      <c r="I78">
        <f t="shared" si="15"/>
        <v>0.16540925244137319</v>
      </c>
      <c r="J78">
        <f t="shared" si="16"/>
        <v>2.075870815108678</v>
      </c>
      <c r="K78">
        <f t="shared" si="17"/>
        <v>0.21963504796228173</v>
      </c>
      <c r="L78">
        <f t="shared" si="18"/>
        <v>9.9587105038211835E-3</v>
      </c>
      <c r="M78" s="15" t="s">
        <v>79</v>
      </c>
      <c r="N78">
        <f t="shared" si="19"/>
        <v>-1.2796699301994763</v>
      </c>
      <c r="O78" s="2"/>
      <c r="P78" s="104">
        <f t="shared" si="22"/>
        <v>0.25360062824673085</v>
      </c>
      <c r="Q78" s="138">
        <f t="shared" si="23"/>
        <v>0.18287769855926819</v>
      </c>
      <c r="R78" s="10"/>
      <c r="S78" s="10"/>
      <c r="T78" s="10"/>
    </row>
    <row r="79" spans="3:20" x14ac:dyDescent="0.25">
      <c r="C79" s="1">
        <f t="shared" si="20"/>
        <v>34</v>
      </c>
      <c r="D79" s="10"/>
      <c r="E79" s="10">
        <f t="shared" si="12"/>
        <v>0.41234591537632714</v>
      </c>
      <c r="F79" s="105">
        <f t="shared" si="13"/>
        <v>0.19267408517708526</v>
      </c>
      <c r="G79" s="40">
        <f t="shared" si="21"/>
        <v>0.96337042588542632</v>
      </c>
      <c r="H79">
        <f t="shared" si="14"/>
        <v>5.8246918307526538</v>
      </c>
      <c r="I79">
        <f t="shared" si="15"/>
        <v>0.16539423095297759</v>
      </c>
      <c r="J79">
        <f t="shared" si="16"/>
        <v>2.0760446306640725</v>
      </c>
      <c r="K79">
        <f t="shared" si="17"/>
        <v>0.21967183019924186</v>
      </c>
      <c r="L79">
        <f t="shared" si="18"/>
        <v>9.96128291175233E-3</v>
      </c>
      <c r="M79" s="15" t="s">
        <v>79</v>
      </c>
      <c r="N79">
        <f t="shared" si="19"/>
        <v>-1.280242617966429</v>
      </c>
      <c r="O79" s="2"/>
      <c r="P79" s="104">
        <f t="shared" si="22"/>
        <v>0.25360062824673085</v>
      </c>
      <c r="Q79" s="138">
        <f t="shared" si="23"/>
        <v>0.18287769855926819</v>
      </c>
      <c r="R79" s="10"/>
      <c r="S79" s="10"/>
      <c r="T79" s="10"/>
    </row>
    <row r="80" spans="3:20" x14ac:dyDescent="0.25">
      <c r="C80" s="1">
        <f t="shared" si="20"/>
        <v>34.5</v>
      </c>
      <c r="D80" s="10"/>
      <c r="E80" s="10">
        <f t="shared" si="12"/>
        <v>0.41236527797978956</v>
      </c>
      <c r="F80" s="105">
        <f t="shared" si="13"/>
        <v>0.19265896418060213</v>
      </c>
      <c r="G80" s="40">
        <f t="shared" si="21"/>
        <v>0.96329482090301066</v>
      </c>
      <c r="H80">
        <f t="shared" si="14"/>
        <v>5.8247305559595794</v>
      </c>
      <c r="I80">
        <f t="shared" si="15"/>
        <v>0.16538015134750131</v>
      </c>
      <c r="J80">
        <f t="shared" si="16"/>
        <v>2.0762075707260239</v>
      </c>
      <c r="K80">
        <f t="shared" si="17"/>
        <v>0.21970631379918742</v>
      </c>
      <c r="L80">
        <f t="shared" si="18"/>
        <v>9.9636947969137402E-3</v>
      </c>
      <c r="M80" s="15" t="s">
        <v>79</v>
      </c>
      <c r="N80">
        <f t="shared" si="19"/>
        <v>-1.2807795602309016</v>
      </c>
      <c r="O80" s="2"/>
      <c r="P80" s="104">
        <f t="shared" si="22"/>
        <v>0.25360062824673085</v>
      </c>
      <c r="Q80" s="138">
        <f t="shared" si="23"/>
        <v>0.18287769855926819</v>
      </c>
      <c r="R80" s="10"/>
      <c r="S80" s="10"/>
      <c r="T80" s="10"/>
    </row>
    <row r="81" spans="3:20" x14ac:dyDescent="0.25">
      <c r="C81" s="1">
        <f t="shared" si="20"/>
        <v>35</v>
      </c>
      <c r="D81" s="10"/>
      <c r="E81" s="10">
        <f t="shared" si="12"/>
        <v>0.41238343414877476</v>
      </c>
      <c r="F81" s="105">
        <f t="shared" si="13"/>
        <v>0.19264479109250268</v>
      </c>
      <c r="G81" s="40">
        <f t="shared" si="21"/>
        <v>0.96322395546251338</v>
      </c>
      <c r="H81">
        <f t="shared" si="14"/>
        <v>5.8247668682975497</v>
      </c>
      <c r="I81">
        <f t="shared" si="15"/>
        <v>0.16536695411880792</v>
      </c>
      <c r="J81">
        <f t="shared" si="16"/>
        <v>2.0763603195890781</v>
      </c>
      <c r="K81">
        <f t="shared" si="17"/>
        <v>0.21973864305627208</v>
      </c>
      <c r="L81">
        <f t="shared" si="18"/>
        <v>9.9659562075383335E-3</v>
      </c>
      <c r="M81" s="15" t="s">
        <v>79</v>
      </c>
      <c r="N81">
        <f t="shared" si="19"/>
        <v>-1.2812829956119565</v>
      </c>
      <c r="O81" s="2"/>
      <c r="P81" s="104">
        <f t="shared" si="22"/>
        <v>0.25360062824673085</v>
      </c>
      <c r="Q81" s="138">
        <f t="shared" si="23"/>
        <v>0.18287769855926819</v>
      </c>
      <c r="R81" s="10"/>
      <c r="S81" s="10"/>
      <c r="T81" s="10"/>
    </row>
    <row r="82" spans="3:20" x14ac:dyDescent="0.25">
      <c r="C82" s="1">
        <f t="shared" si="20"/>
        <v>35.5</v>
      </c>
      <c r="D82" s="10"/>
      <c r="E82" s="10">
        <f t="shared" si="12"/>
        <v>0.41240045918030366</v>
      </c>
      <c r="F82" s="105">
        <f t="shared" si="13"/>
        <v>0.19263150605220392</v>
      </c>
      <c r="G82" s="40">
        <f t="shared" si="21"/>
        <v>0.96315753026101958</v>
      </c>
      <c r="H82">
        <f t="shared" si="14"/>
        <v>5.8248009183606069</v>
      </c>
      <c r="I82">
        <f t="shared" si="15"/>
        <v>0.16535458357469507</v>
      </c>
      <c r="J82">
        <f t="shared" si="16"/>
        <v>2.0765035180257501</v>
      </c>
      <c r="K82">
        <f t="shared" si="17"/>
        <v>0.21976895312809971</v>
      </c>
      <c r="L82">
        <f t="shared" si="18"/>
        <v>9.9680765590400549E-3</v>
      </c>
      <c r="M82" s="15" t="s">
        <v>79</v>
      </c>
      <c r="N82">
        <f t="shared" si="19"/>
        <v>-1.2817550216166764</v>
      </c>
      <c r="O82" s="2"/>
      <c r="P82" s="104">
        <f t="shared" si="22"/>
        <v>0.25360062824673085</v>
      </c>
      <c r="Q82" s="138">
        <f t="shared" si="23"/>
        <v>0.18287769855926819</v>
      </c>
      <c r="R82" s="10"/>
      <c r="S82" s="10"/>
      <c r="T82" s="10"/>
    </row>
    <row r="83" spans="3:20" x14ac:dyDescent="0.25">
      <c r="C83" s="1">
        <f t="shared" si="20"/>
        <v>36</v>
      </c>
      <c r="D83" s="10"/>
      <c r="E83" s="10">
        <f t="shared" si="12"/>
        <v>0.41241642365640613</v>
      </c>
      <c r="F83" s="105">
        <f t="shared" si="13"/>
        <v>0.19261905303254667</v>
      </c>
      <c r="G83" s="40">
        <f t="shared" si="21"/>
        <v>0.96309526516273336</v>
      </c>
      <c r="H83">
        <f t="shared" si="14"/>
        <v>5.8248328473128126</v>
      </c>
      <c r="I83">
        <f t="shared" si="15"/>
        <v>0.16534298758582247</v>
      </c>
      <c r="J83">
        <f t="shared" si="16"/>
        <v>2.0766377661113946</v>
      </c>
      <c r="K83">
        <f t="shared" si="17"/>
        <v>0.21979737062385946</v>
      </c>
      <c r="L83">
        <f t="shared" si="18"/>
        <v>9.9700646743381867E-3</v>
      </c>
      <c r="M83" s="15" t="s">
        <v>79</v>
      </c>
      <c r="N83">
        <f t="shared" si="19"/>
        <v>-1.2821976036474494</v>
      </c>
      <c r="O83" s="2"/>
      <c r="P83" s="104">
        <f t="shared" si="22"/>
        <v>0.25360062824673085</v>
      </c>
      <c r="Q83" s="138">
        <f t="shared" si="23"/>
        <v>0.18287769855926819</v>
      </c>
      <c r="R83" s="10"/>
      <c r="S83" s="10"/>
      <c r="T83" s="10"/>
    </row>
    <row r="84" spans="3:20" x14ac:dyDescent="0.25">
      <c r="C84" s="1">
        <f t="shared" si="20"/>
        <v>36.5</v>
      </c>
      <c r="D84" s="10"/>
      <c r="E84" s="10">
        <f t="shared" si="12"/>
        <v>0.41243139374126092</v>
      </c>
      <c r="F84" s="105">
        <f t="shared" si="13"/>
        <v>0.19260737958783866</v>
      </c>
      <c r="G84" s="40">
        <f t="shared" si="21"/>
        <v>0.96303689793919334</v>
      </c>
      <c r="H84">
        <f t="shared" si="14"/>
        <v>5.8248627874825214</v>
      </c>
      <c r="I84">
        <f t="shared" si="15"/>
        <v>0.16533211735197173</v>
      </c>
      <c r="J84">
        <f t="shared" si="16"/>
        <v>2.0767636258587894</v>
      </c>
      <c r="K84">
        <f t="shared" si="17"/>
        <v>0.21982401415342229</v>
      </c>
      <c r="L84">
        <f t="shared" si="18"/>
        <v>9.9719288215539513E-3</v>
      </c>
      <c r="M84" s="15" t="s">
        <v>79</v>
      </c>
      <c r="N84">
        <f t="shared" si="19"/>
        <v>-1.2826125834204753</v>
      </c>
      <c r="O84" s="2"/>
      <c r="P84" s="104">
        <f t="shared" si="22"/>
        <v>0.25360062824673085</v>
      </c>
      <c r="Q84" s="138">
        <f t="shared" si="23"/>
        <v>0.18287769855926819</v>
      </c>
      <c r="R84" s="10"/>
      <c r="S84" s="10"/>
      <c r="T84" s="10"/>
    </row>
    <row r="85" spans="3:20" x14ac:dyDescent="0.25">
      <c r="C85" s="1">
        <f t="shared" si="20"/>
        <v>37</v>
      </c>
      <c r="D85" s="10"/>
      <c r="E85" s="10">
        <f t="shared" si="12"/>
        <v>0.41244543145937662</v>
      </c>
      <c r="F85" s="105">
        <f t="shared" si="13"/>
        <v>0.19259643661924125</v>
      </c>
      <c r="G85" s="40">
        <f t="shared" si="21"/>
        <v>0.9629821830962062</v>
      </c>
      <c r="H85">
        <f t="shared" si="14"/>
        <v>5.8248908629187532</v>
      </c>
      <c r="I85">
        <f t="shared" si="15"/>
        <v>0.16532192718434424</v>
      </c>
      <c r="J85">
        <f t="shared" si="16"/>
        <v>2.0768816236760959</v>
      </c>
      <c r="K85">
        <f t="shared" si="17"/>
        <v>0.21984899484013537</v>
      </c>
      <c r="L85">
        <f t="shared" si="18"/>
        <v>9.9736767492579811E-3</v>
      </c>
      <c r="M85" s="15" t="s">
        <v>79</v>
      </c>
      <c r="N85">
        <f t="shared" si="19"/>
        <v>-1.2830016868356893</v>
      </c>
      <c r="O85" s="2"/>
      <c r="P85" s="104">
        <f t="shared" si="22"/>
        <v>0.25360062824673085</v>
      </c>
      <c r="Q85" s="138">
        <f t="shared" si="23"/>
        <v>0.18287769855926819</v>
      </c>
      <c r="R85" s="10"/>
      <c r="S85" s="10"/>
      <c r="T85" s="10"/>
    </row>
    <row r="86" spans="3:20" x14ac:dyDescent="0.25">
      <c r="C86" s="1">
        <f t="shared" si="20"/>
        <v>37.5</v>
      </c>
      <c r="D86" s="10"/>
      <c r="E86" s="10">
        <f t="shared" si="12"/>
        <v>0.41245859495605303</v>
      </c>
      <c r="F86" s="105">
        <f t="shared" si="13"/>
        <v>0.1925861781562119</v>
      </c>
      <c r="G86" s="40">
        <f t="shared" si="21"/>
        <v>0.96293089078105953</v>
      </c>
      <c r="H86">
        <f t="shared" si="14"/>
        <v>5.8249171899121057</v>
      </c>
      <c r="I86">
        <f t="shared" si="15"/>
        <v>0.16531237430271339</v>
      </c>
      <c r="J86">
        <f t="shared" si="16"/>
        <v>2.0769922526607756</v>
      </c>
      <c r="K86">
        <f t="shared" si="17"/>
        <v>0.21987241679984112</v>
      </c>
      <c r="L86">
        <f t="shared" si="18"/>
        <v>9.9753157194339657E-3</v>
      </c>
      <c r="M86" s="15" t="s">
        <v>79</v>
      </c>
      <c r="N86">
        <f t="shared" si="19"/>
        <v>-1.2833665313353544</v>
      </c>
      <c r="O86" s="2"/>
      <c r="P86" s="104">
        <f t="shared" si="22"/>
        <v>0.25360062824673085</v>
      </c>
      <c r="Q86" s="138">
        <f t="shared" si="23"/>
        <v>0.18287769855926819</v>
      </c>
      <c r="R86" s="10"/>
      <c r="S86" s="10"/>
      <c r="T86" s="10"/>
    </row>
    <row r="87" spans="3:20" x14ac:dyDescent="0.25">
      <c r="C87" s="1">
        <f t="shared" si="20"/>
        <v>38</v>
      </c>
      <c r="D87" s="10"/>
      <c r="E87" s="10">
        <f t="shared" si="12"/>
        <v>0.41247093874127672</v>
      </c>
      <c r="F87" s="105">
        <f t="shared" si="13"/>
        <v>0.19257656115282146</v>
      </c>
      <c r="G87" s="40">
        <f t="shared" si="21"/>
        <v>0.96288280576410723</v>
      </c>
      <c r="H87">
        <f t="shared" si="14"/>
        <v>5.8249418774825532</v>
      </c>
      <c r="I87">
        <f t="shared" si="15"/>
        <v>0.1653034186463419</v>
      </c>
      <c r="J87">
        <f t="shared" si="16"/>
        <v>2.0770959747410549</v>
      </c>
      <c r="K87">
        <f t="shared" si="17"/>
        <v>0.21989437758845529</v>
      </c>
      <c r="L87">
        <f t="shared" si="18"/>
        <v>9.9768525383120438E-3</v>
      </c>
      <c r="M87" s="15" t="s">
        <v>79</v>
      </c>
      <c r="N87">
        <f t="shared" si="19"/>
        <v>-1.2837086327858502</v>
      </c>
      <c r="O87" s="2"/>
      <c r="P87" s="104">
        <f t="shared" si="22"/>
        <v>0.25360062824673085</v>
      </c>
      <c r="Q87" s="138">
        <f t="shared" si="23"/>
        <v>0.18287769855926819</v>
      </c>
      <c r="R87" s="10"/>
      <c r="S87" s="10"/>
      <c r="T87" s="10"/>
    </row>
    <row r="88" spans="3:20" x14ac:dyDescent="0.25">
      <c r="C88" s="1">
        <f t="shared" si="20"/>
        <v>38.5</v>
      </c>
      <c r="D88" s="10"/>
      <c r="E88" s="10">
        <f t="shared" si="12"/>
        <v>0.41248251391812463</v>
      </c>
      <c r="F88" s="105">
        <f t="shared" si="13"/>
        <v>0.19256754529786155</v>
      </c>
      <c r="G88" s="40">
        <f t="shared" si="21"/>
        <v>0.96283772648930777</v>
      </c>
      <c r="H88">
        <f t="shared" si="14"/>
        <v>5.8249650278362495</v>
      </c>
      <c r="I88">
        <f t="shared" si="15"/>
        <v>0.16529502269766672</v>
      </c>
      <c r="J88">
        <f t="shared" si="16"/>
        <v>2.077193222675628</v>
      </c>
      <c r="K88">
        <f t="shared" si="17"/>
        <v>0.21991496862026305</v>
      </c>
      <c r="L88">
        <f t="shared" si="18"/>
        <v>9.9782935852142565E-3</v>
      </c>
      <c r="M88" s="15" t="s">
        <v>79</v>
      </c>
      <c r="N88">
        <f t="shared" si="19"/>
        <v>-1.2840294119146685</v>
      </c>
      <c r="O88" s="2"/>
      <c r="P88" s="104">
        <f t="shared" si="22"/>
        <v>0.25360062824673085</v>
      </c>
      <c r="Q88" s="138">
        <f t="shared" si="23"/>
        <v>0.18287769855926819</v>
      </c>
      <c r="R88" s="10"/>
      <c r="S88" s="10"/>
      <c r="T88" s="10"/>
    </row>
    <row r="89" spans="3:20" x14ac:dyDescent="0.25">
      <c r="C89" s="1">
        <f t="shared" si="20"/>
        <v>39</v>
      </c>
      <c r="D89" s="10"/>
      <c r="E89" s="10">
        <f t="shared" si="12"/>
        <v>0.41249336839668133</v>
      </c>
      <c r="F89" s="105">
        <f t="shared" si="13"/>
        <v>0.19255909283774486</v>
      </c>
      <c r="G89" s="40">
        <f t="shared" si="21"/>
        <v>0.9627954641887243</v>
      </c>
      <c r="H89">
        <f t="shared" si="14"/>
        <v>5.8249867367933623</v>
      </c>
      <c r="I89">
        <f t="shared" si="15"/>
        <v>0.1652871513178312</v>
      </c>
      <c r="J89">
        <f t="shared" si="16"/>
        <v>2.0772844019214927</v>
      </c>
      <c r="K89">
        <f t="shared" si="17"/>
        <v>0.21993427555893647</v>
      </c>
      <c r="L89">
        <f t="shared" si="18"/>
        <v>9.9796448395446102E-3</v>
      </c>
      <c r="M89" s="15" t="s">
        <v>79</v>
      </c>
      <c r="N89">
        <f t="shared" si="19"/>
        <v>-1.2843302003324104</v>
      </c>
      <c r="O89" s="2"/>
      <c r="P89" s="104">
        <f t="shared" si="22"/>
        <v>0.25360062824673085</v>
      </c>
      <c r="Q89" s="138">
        <f t="shared" si="23"/>
        <v>0.18287769855926819</v>
      </c>
      <c r="R89" s="10"/>
      <c r="S89" s="10"/>
      <c r="T89" s="10"/>
    </row>
    <row r="90" spans="3:20" x14ac:dyDescent="0.25">
      <c r="C90" s="1">
        <f t="shared" si="20"/>
        <v>39.5</v>
      </c>
      <c r="D90" s="10"/>
      <c r="E90" s="10">
        <f t="shared" si="12"/>
        <v>0.41250354709440407</v>
      </c>
      <c r="F90" s="105">
        <f t="shared" si="13"/>
        <v>0.19255116841128112</v>
      </c>
      <c r="G90" s="40">
        <f t="shared" si="21"/>
        <v>0.96275584205640552</v>
      </c>
      <c r="H90">
        <f t="shared" si="14"/>
        <v>5.8250070941888081</v>
      </c>
      <c r="I90">
        <f t="shared" si="15"/>
        <v>0.16527977159321883</v>
      </c>
      <c r="J90">
        <f t="shared" si="16"/>
        <v>2.0773698923790325</v>
      </c>
      <c r="K90">
        <f t="shared" si="17"/>
        <v>0.21995237868312298</v>
      </c>
      <c r="L90">
        <f t="shared" si="18"/>
        <v>9.9809119060466113E-3</v>
      </c>
      <c r="M90" s="15" t="s">
        <v>79</v>
      </c>
      <c r="N90">
        <f t="shared" si="19"/>
        <v>-1.2846122461673573</v>
      </c>
      <c r="O90" s="2"/>
      <c r="P90" s="104">
        <f t="shared" si="22"/>
        <v>0.25360062824673085</v>
      </c>
      <c r="Q90" s="138">
        <f t="shared" si="23"/>
        <v>0.18287769855926819</v>
      </c>
      <c r="R90" s="10"/>
      <c r="S90" s="10"/>
      <c r="T90" s="10"/>
    </row>
    <row r="91" spans="3:20" x14ac:dyDescent="0.25">
      <c r="C91" s="1">
        <f t="shared" si="20"/>
        <v>40</v>
      </c>
      <c r="D91" s="10"/>
      <c r="E91" s="10">
        <f t="shared" si="12"/>
        <v>0.41251309212380932</v>
      </c>
      <c r="F91" s="105">
        <f t="shared" si="13"/>
        <v>0.19254373889548351</v>
      </c>
      <c r="G91" s="40">
        <f t="shared" si="21"/>
        <v>0.96271869447741754</v>
      </c>
      <c r="H91">
        <f t="shared" si="14"/>
        <v>5.8250261842476183</v>
      </c>
      <c r="I91">
        <f t="shared" si="15"/>
        <v>0.16527285269220912</v>
      </c>
      <c r="J91">
        <f t="shared" si="16"/>
        <v>2.0774500500228044</v>
      </c>
      <c r="K91">
        <f t="shared" si="17"/>
        <v>0.21996935322832581</v>
      </c>
      <c r="L91">
        <f t="shared" si="18"/>
        <v>9.9821000384427497E-3</v>
      </c>
      <c r="M91" s="15" t="s">
        <v>79</v>
      </c>
      <c r="N91">
        <f t="shared" si="19"/>
        <v>-1.2848767193383472</v>
      </c>
      <c r="O91" s="2"/>
      <c r="P91" s="104">
        <f t="shared" si="22"/>
        <v>0.25360062824673085</v>
      </c>
      <c r="Q91" s="138">
        <f t="shared" si="23"/>
        <v>0.18287769855926819</v>
      </c>
      <c r="R91" s="10"/>
      <c r="S91" s="10"/>
      <c r="T91" s="10"/>
    </row>
    <row r="92" spans="3:20" x14ac:dyDescent="0.25">
      <c r="C92" s="1">
        <f t="shared" si="20"/>
        <v>40.5</v>
      </c>
      <c r="D92" s="10"/>
      <c r="E92" s="10">
        <f t="shared" si="12"/>
        <v>0.41252204296829581</v>
      </c>
      <c r="F92" s="105">
        <f t="shared" si="13"/>
        <v>0.19253677326162624</v>
      </c>
      <c r="G92" s="40">
        <f t="shared" si="21"/>
        <v>0.96268386630813119</v>
      </c>
      <c r="H92">
        <f t="shared" si="14"/>
        <v>5.8250440859365913</v>
      </c>
      <c r="I92">
        <f t="shared" si="15"/>
        <v>0.16526636573143536</v>
      </c>
      <c r="J92">
        <f t="shared" si="16"/>
        <v>2.0775252084258464</v>
      </c>
      <c r="K92">
        <f t="shared" si="17"/>
        <v>0.21998526970666957</v>
      </c>
      <c r="L92">
        <f t="shared" si="18"/>
        <v>9.9832141615624325E-3</v>
      </c>
      <c r="M92" s="15" t="s">
        <v>79</v>
      </c>
      <c r="N92">
        <f t="shared" si="19"/>
        <v>-1.2851247164898236</v>
      </c>
      <c r="O92" s="2"/>
      <c r="P92" s="104">
        <f t="shared" si="22"/>
        <v>0.25360062824673085</v>
      </c>
      <c r="Q92" s="138">
        <f t="shared" si="23"/>
        <v>0.18287769855926819</v>
      </c>
      <c r="R92" s="10"/>
      <c r="S92" s="10"/>
      <c r="T92" s="10"/>
    </row>
    <row r="93" spans="3:20" x14ac:dyDescent="0.25">
      <c r="C93" s="1">
        <f t="shared" si="20"/>
        <v>41</v>
      </c>
      <c r="D93" s="10"/>
      <c r="E93" s="10">
        <f t="shared" si="12"/>
        <v>0.41253043664686578</v>
      </c>
      <c r="F93" s="105">
        <f t="shared" si="13"/>
        <v>0.19253024244083422</v>
      </c>
      <c r="G93" s="40">
        <f t="shared" si="21"/>
        <v>0.96265121220417105</v>
      </c>
      <c r="H93">
        <f t="shared" si="14"/>
        <v>5.8250608732937312</v>
      </c>
      <c r="I93">
        <f t="shared" si="15"/>
        <v>0.16526028365088108</v>
      </c>
      <c r="J93">
        <f t="shared" si="16"/>
        <v>2.0775956801847513</v>
      </c>
      <c r="K93">
        <f t="shared" si="17"/>
        <v>0.22000019420603156</v>
      </c>
      <c r="L93">
        <f t="shared" si="18"/>
        <v>9.9842588920573943E-3</v>
      </c>
      <c r="M93" s="15" t="s">
        <v>79</v>
      </c>
      <c r="N93">
        <f t="shared" si="19"/>
        <v>-1.285357265611287</v>
      </c>
      <c r="O93" s="2"/>
      <c r="P93" s="104">
        <f t="shared" si="22"/>
        <v>0.25360062824673085</v>
      </c>
      <c r="Q93" s="138">
        <f t="shared" si="23"/>
        <v>0.18287769855926819</v>
      </c>
      <c r="R93" s="10"/>
      <c r="S93" s="10"/>
      <c r="T93" s="10"/>
    </row>
    <row r="94" spans="3:20" x14ac:dyDescent="0.25">
      <c r="C94" s="1">
        <f t="shared" si="20"/>
        <v>41.5</v>
      </c>
      <c r="D94" s="10"/>
      <c r="E94" s="10">
        <f t="shared" si="12"/>
        <v>0.41253830786845458</v>
      </c>
      <c r="F94" s="105">
        <f t="shared" si="13"/>
        <v>0.19252411919854051</v>
      </c>
      <c r="G94" s="40">
        <f t="shared" si="21"/>
        <v>0.96262059599270255</v>
      </c>
      <c r="H94">
        <f t="shared" si="14"/>
        <v>5.8250766157369096</v>
      </c>
      <c r="I94">
        <f t="shared" si="15"/>
        <v>0.1652545810972007</v>
      </c>
      <c r="J94">
        <f t="shared" si="16"/>
        <v>2.0776617582522219</v>
      </c>
      <c r="K94">
        <f t="shared" si="17"/>
        <v>0.22001418866991407</v>
      </c>
      <c r="L94">
        <f t="shared" si="18"/>
        <v>9.985238557796974E-3</v>
      </c>
      <c r="M94" s="15" t="s">
        <v>79</v>
      </c>
      <c r="N94">
        <f t="shared" si="19"/>
        <v>-1.2855753303618482</v>
      </c>
      <c r="O94" s="2"/>
      <c r="P94" s="104">
        <f t="shared" si="22"/>
        <v>0.25360062824673085</v>
      </c>
      <c r="Q94" s="138">
        <f t="shared" si="23"/>
        <v>0.18287769855926819</v>
      </c>
      <c r="R94" s="10"/>
      <c r="S94" s="10"/>
      <c r="T94" s="10"/>
    </row>
    <row r="95" spans="3:20" x14ac:dyDescent="0.25">
      <c r="C95" s="1">
        <f t="shared" si="20"/>
        <v>42</v>
      </c>
      <c r="D95" s="10"/>
      <c r="E95" s="10">
        <f t="shared" si="12"/>
        <v>0.41254568917653356</v>
      </c>
      <c r="F95" s="105">
        <f t="shared" si="13"/>
        <v>0.19251837801719765</v>
      </c>
      <c r="G95" s="40">
        <f t="shared" si="21"/>
        <v>0.96259189008598822</v>
      </c>
      <c r="H95">
        <f t="shared" si="14"/>
        <v>5.8250913783530667</v>
      </c>
      <c r="I95">
        <f t="shared" si="15"/>
        <v>0.16524923431469718</v>
      </c>
      <c r="J95">
        <f t="shared" si="16"/>
        <v>2.0777237171833436</v>
      </c>
      <c r="K95">
        <f t="shared" si="17"/>
        <v>0.22002731115933591</v>
      </c>
      <c r="L95">
        <f t="shared" si="18"/>
        <v>9.9861572160292351E-3</v>
      </c>
      <c r="M95" s="15" t="s">
        <v>79</v>
      </c>
      <c r="N95">
        <f t="shared" si="19"/>
        <v>-1.2857798141191581</v>
      </c>
      <c r="O95" s="2"/>
      <c r="P95" s="104">
        <f t="shared" si="22"/>
        <v>0.25360062824673085</v>
      </c>
      <c r="Q95" s="138">
        <f t="shared" si="23"/>
        <v>0.18287769855926819</v>
      </c>
      <c r="R95" s="10"/>
      <c r="S95" s="10"/>
      <c r="T95" s="10"/>
    </row>
    <row r="96" spans="3:20" x14ac:dyDescent="0.25">
      <c r="C96" s="1">
        <f t="shared" si="20"/>
        <v>42.5</v>
      </c>
      <c r="D96" s="10"/>
      <c r="E96" s="10">
        <f t="shared" si="12"/>
        <v>0.41255261108460639</v>
      </c>
      <c r="F96" s="105">
        <f t="shared" si="13"/>
        <v>0.19251299498667457</v>
      </c>
      <c r="G96" s="40">
        <f t="shared" si="21"/>
        <v>0.9625649749333729</v>
      </c>
      <c r="H96">
        <f t="shared" si="14"/>
        <v>5.8251052221692126</v>
      </c>
      <c r="I96">
        <f t="shared" si="15"/>
        <v>0.16524422104343087</v>
      </c>
      <c r="J96">
        <f t="shared" si="16"/>
        <v>2.0777818143013529</v>
      </c>
      <c r="K96">
        <f t="shared" si="17"/>
        <v>0.22003961609793179</v>
      </c>
      <c r="L96">
        <f t="shared" si="18"/>
        <v>9.9870186703881376E-3</v>
      </c>
      <c r="M96" s="15" t="s">
        <v>79</v>
      </c>
      <c r="N96">
        <f t="shared" si="19"/>
        <v>-1.2859715637706697</v>
      </c>
      <c r="O96" s="2"/>
      <c r="P96" s="104">
        <f t="shared" si="22"/>
        <v>0.25360062824673085</v>
      </c>
      <c r="Q96" s="138">
        <f t="shared" si="23"/>
        <v>0.18287769855926819</v>
      </c>
      <c r="R96" s="10"/>
      <c r="S96" s="10"/>
      <c r="T96" s="10"/>
    </row>
    <row r="97" spans="3:20" x14ac:dyDescent="0.25">
      <c r="C97" s="1">
        <f t="shared" si="20"/>
        <v>43</v>
      </c>
      <c r="D97" s="10"/>
      <c r="E97" s="10">
        <f t="shared" si="12"/>
        <v>0.41255910220317926</v>
      </c>
      <c r="F97" s="105">
        <f t="shared" si="13"/>
        <v>0.19250794770181323</v>
      </c>
      <c r="G97" s="40">
        <f t="shared" si="21"/>
        <v>0.96253973850906616</v>
      </c>
      <c r="H97">
        <f t="shared" si="14"/>
        <v>5.8251182044063583</v>
      </c>
      <c r="I97">
        <f t="shared" si="15"/>
        <v>0.16523952042397383</v>
      </c>
      <c r="J97">
        <f t="shared" si="16"/>
        <v>2.077836290788281</v>
      </c>
      <c r="K97">
        <f t="shared" si="17"/>
        <v>0.22005115450136603</v>
      </c>
      <c r="L97">
        <f t="shared" si="18"/>
        <v>9.9878264868214824E-3</v>
      </c>
      <c r="M97" s="15" t="s">
        <v>79</v>
      </c>
      <c r="N97">
        <f t="shared" si="19"/>
        <v>-1.2861513732639867</v>
      </c>
      <c r="O97" s="2"/>
      <c r="P97" s="104">
        <f t="shared" si="22"/>
        <v>0.25360062824673085</v>
      </c>
      <c r="Q97" s="138">
        <f t="shared" si="23"/>
        <v>0.18287769855926819</v>
      </c>
      <c r="R97" s="10"/>
      <c r="S97" s="10"/>
      <c r="T97" s="10"/>
    </row>
    <row r="98" spans="3:20" x14ac:dyDescent="0.25">
      <c r="C98" s="1">
        <f t="shared" si="20"/>
        <v>43.5</v>
      </c>
      <c r="D98" s="10"/>
      <c r="E98" s="10">
        <f t="shared" si="12"/>
        <v>0.41256518935874709</v>
      </c>
      <c r="F98" s="105">
        <f t="shared" si="13"/>
        <v>0.19250321516665775</v>
      </c>
      <c r="G98" s="40">
        <f t="shared" si="21"/>
        <v>0.96251607583328869</v>
      </c>
      <c r="H98">
        <f t="shared" si="14"/>
        <v>5.8251303787174944</v>
      </c>
      <c r="I98">
        <f t="shared" si="15"/>
        <v>0.16523511290835755</v>
      </c>
      <c r="J98">
        <f t="shared" si="16"/>
        <v>2.0778873727054585</v>
      </c>
      <c r="K98">
        <f t="shared" si="17"/>
        <v>0.22006197419208934</v>
      </c>
      <c r="L98">
        <f t="shared" si="18"/>
        <v>9.9885840085094293E-3</v>
      </c>
      <c r="M98" s="15" t="s">
        <v>79</v>
      </c>
      <c r="N98">
        <f t="shared" si="19"/>
        <v>-1.2863199869318849</v>
      </c>
      <c r="O98" s="2"/>
      <c r="P98" s="104">
        <f t="shared" si="22"/>
        <v>0.25360062824673085</v>
      </c>
      <c r="Q98" s="138">
        <f t="shared" si="23"/>
        <v>0.18287769855926819</v>
      </c>
      <c r="R98" s="10"/>
      <c r="S98" s="10"/>
      <c r="T98" s="10"/>
    </row>
    <row r="99" spans="3:20" x14ac:dyDescent="0.25">
      <c r="C99" s="1">
        <f t="shared" si="20"/>
        <v>44</v>
      </c>
      <c r="D99" s="10"/>
      <c r="E99" s="10">
        <f t="shared" si="12"/>
        <v>0.41257089770530309</v>
      </c>
      <c r="F99" s="105">
        <f t="shared" si="13"/>
        <v>0.19249877770490384</v>
      </c>
      <c r="G99" s="40">
        <f t="shared" si="21"/>
        <v>0.96249388852451923</v>
      </c>
      <c r="H99">
        <f t="shared" si="14"/>
        <v>5.8251417954106062</v>
      </c>
      <c r="I99">
        <f t="shared" si="15"/>
        <v>0.1652309801767966</v>
      </c>
      <c r="J99">
        <f t="shared" si="16"/>
        <v>2.0779352719485353</v>
      </c>
      <c r="K99">
        <f t="shared" si="17"/>
        <v>0.22007212000039925</v>
      </c>
      <c r="L99">
        <f t="shared" si="18"/>
        <v>9.9892943698386399E-3</v>
      </c>
      <c r="M99" s="15" t="s">
        <v>79</v>
      </c>
      <c r="N99">
        <f t="shared" si="19"/>
        <v>-1.2864781026066012</v>
      </c>
      <c r="O99" s="2"/>
      <c r="P99" s="104">
        <f t="shared" si="22"/>
        <v>0.25360062824673085</v>
      </c>
      <c r="Q99" s="138">
        <f t="shared" si="23"/>
        <v>0.18287769855926819</v>
      </c>
      <c r="R99" s="10"/>
      <c r="S99" s="10"/>
      <c r="T99" s="10"/>
    </row>
    <row r="100" spans="3:20" x14ac:dyDescent="0.25">
      <c r="C100" s="1">
        <f t="shared" si="20"/>
        <v>44.5</v>
      </c>
      <c r="D100" s="10"/>
      <c r="E100" s="10">
        <f t="shared" si="12"/>
        <v>0.41257625082884641</v>
      </c>
      <c r="F100" s="105">
        <f t="shared" si="13"/>
        <v>0.19249461687614985</v>
      </c>
      <c r="G100" s="40">
        <f t="shared" si="21"/>
        <v>0.9624730843807493</v>
      </c>
      <c r="H100">
        <f t="shared" si="14"/>
        <v>5.8251525016576924</v>
      </c>
      <c r="I100">
        <f t="shared" si="15"/>
        <v>0.16522710505979948</v>
      </c>
      <c r="J100">
        <f t="shared" si="16"/>
        <v>2.0779801871413275</v>
      </c>
      <c r="K100">
        <f t="shared" si="17"/>
        <v>0.22008163395269653</v>
      </c>
      <c r="L100">
        <f t="shared" si="18"/>
        <v>9.989960509492855E-3</v>
      </c>
      <c r="M100" s="15" t="s">
        <v>79</v>
      </c>
      <c r="N100">
        <f t="shared" si="19"/>
        <v>-1.2866263745369673</v>
      </c>
      <c r="O100" s="2"/>
      <c r="P100" s="104">
        <f t="shared" si="22"/>
        <v>0.25360062824673085</v>
      </c>
      <c r="Q100" s="138">
        <f t="shared" si="23"/>
        <v>0.18287769855926819</v>
      </c>
      <c r="R100" s="10"/>
      <c r="S100" s="10"/>
      <c r="T100" s="10"/>
    </row>
    <row r="101" spans="3:20" x14ac:dyDescent="0.25">
      <c r="C101" s="1"/>
      <c r="D101" s="10"/>
      <c r="E101" s="10"/>
      <c r="F101" s="10"/>
      <c r="G101" s="10"/>
      <c r="H101" s="10"/>
      <c r="M101" s="2"/>
      <c r="O101" s="2"/>
      <c r="P101" s="2"/>
      <c r="R101" s="10"/>
      <c r="S101" s="10"/>
      <c r="T101" s="10"/>
    </row>
    <row r="102" spans="3:20" x14ac:dyDescent="0.25">
      <c r="C102" s="1"/>
      <c r="D102" s="10"/>
      <c r="E102" s="10"/>
      <c r="F102" s="10"/>
      <c r="G102" s="10"/>
      <c r="H102" s="10"/>
      <c r="M102" s="2"/>
      <c r="O102" s="2"/>
      <c r="P102" s="2"/>
      <c r="R102" s="10"/>
      <c r="S102" s="10"/>
      <c r="T102" s="10"/>
    </row>
    <row r="103" spans="3:20" x14ac:dyDescent="0.25">
      <c r="C103" s="1"/>
      <c r="D103" s="10"/>
      <c r="E103" s="10"/>
      <c r="F103" s="10"/>
      <c r="G103" s="10"/>
      <c r="H103" s="10"/>
      <c r="M103" s="2"/>
      <c r="O103" s="2"/>
      <c r="P103" s="2"/>
      <c r="R103" s="10"/>
      <c r="S103" s="10"/>
      <c r="T103" s="10"/>
    </row>
    <row r="104" spans="3:20" x14ac:dyDescent="0.25">
      <c r="C104" s="1"/>
      <c r="D104" s="10"/>
      <c r="E104" s="10"/>
      <c r="F104" s="10"/>
      <c r="G104" s="10"/>
      <c r="H104" s="10"/>
      <c r="M104" s="2"/>
      <c r="O104" s="2"/>
      <c r="P104" s="2"/>
      <c r="R104" s="10"/>
      <c r="S104" s="10"/>
      <c r="T104" s="10"/>
    </row>
    <row r="105" spans="3:20" x14ac:dyDescent="0.25">
      <c r="C105" s="1"/>
      <c r="D105" s="10"/>
      <c r="E105" s="10"/>
      <c r="F105" s="10"/>
      <c r="G105" s="10"/>
      <c r="H105" s="10"/>
      <c r="M105" s="2"/>
      <c r="O105" s="2"/>
      <c r="P105" s="2"/>
      <c r="R105" s="10"/>
      <c r="S105" s="10"/>
      <c r="T105" s="10"/>
    </row>
    <row r="106" spans="3:20" x14ac:dyDescent="0.25">
      <c r="C106" s="1"/>
      <c r="D106" s="10"/>
      <c r="E106" s="10"/>
      <c r="F106" s="10"/>
      <c r="G106" s="10"/>
      <c r="H106" s="10"/>
      <c r="M106" s="2"/>
      <c r="O106" s="2"/>
      <c r="P106" s="2"/>
      <c r="R106" s="10"/>
      <c r="S106" s="10"/>
      <c r="T106" s="10"/>
    </row>
    <row r="107" spans="3:20" x14ac:dyDescent="0.25">
      <c r="C107" s="1"/>
      <c r="D107" s="10"/>
      <c r="E107" s="10"/>
      <c r="F107" s="10"/>
      <c r="G107" s="10"/>
      <c r="H107" s="10"/>
      <c r="M107" s="2"/>
      <c r="O107" s="2"/>
      <c r="P107" s="2"/>
      <c r="R107" s="10"/>
      <c r="S107" s="10"/>
      <c r="T107" s="10"/>
    </row>
    <row r="108" spans="3:20" x14ac:dyDescent="0.25">
      <c r="C108" s="1"/>
      <c r="D108" s="10"/>
      <c r="E108" s="10"/>
      <c r="F108" s="10"/>
      <c r="G108" s="10"/>
      <c r="H108" s="10"/>
      <c r="M108" s="2"/>
      <c r="O108" s="2"/>
      <c r="P108" s="2"/>
      <c r="R108" s="10"/>
      <c r="S108" s="10"/>
      <c r="T108" s="10"/>
    </row>
    <row r="109" spans="3:20" x14ac:dyDescent="0.25">
      <c r="C109" s="1"/>
      <c r="D109" s="10"/>
      <c r="E109" s="10"/>
      <c r="F109" s="10"/>
      <c r="G109" s="10"/>
      <c r="H109" s="10"/>
      <c r="M109" s="2"/>
      <c r="O109" s="2"/>
      <c r="P109" s="2"/>
      <c r="R109" s="10"/>
      <c r="S109" s="10"/>
      <c r="T109" s="10"/>
    </row>
    <row r="110" spans="3:20" x14ac:dyDescent="0.25">
      <c r="C110" s="1"/>
      <c r="D110" s="10"/>
      <c r="E110" s="10"/>
      <c r="F110" s="10"/>
      <c r="G110" s="10"/>
      <c r="H110" s="10"/>
      <c r="M110" s="2"/>
      <c r="O110" s="2"/>
      <c r="P110" s="2"/>
      <c r="R110" s="10"/>
      <c r="S110" s="10"/>
      <c r="T110" s="10"/>
    </row>
    <row r="111" spans="3:20" x14ac:dyDescent="0.25">
      <c r="C111" s="1"/>
      <c r="D111" s="10"/>
      <c r="E111" s="10"/>
      <c r="F111" s="10"/>
      <c r="G111" s="10"/>
      <c r="H111" s="10"/>
      <c r="M111" s="2"/>
      <c r="O111" s="2"/>
      <c r="P111" s="2"/>
      <c r="R111" s="10"/>
      <c r="S111" s="10"/>
      <c r="T111" s="10"/>
    </row>
    <row r="112" spans="3:20" x14ac:dyDescent="0.25">
      <c r="C112" s="1"/>
      <c r="D112" s="10"/>
      <c r="E112" s="10"/>
      <c r="F112" s="10"/>
      <c r="G112" s="10"/>
      <c r="H112" s="10"/>
      <c r="M112" s="2"/>
      <c r="O112" s="2"/>
      <c r="P112" s="2"/>
      <c r="R112" s="10"/>
      <c r="S112" s="10"/>
      <c r="T112" s="10"/>
    </row>
    <row r="113" spans="3:20" x14ac:dyDescent="0.25">
      <c r="C113" s="1"/>
      <c r="D113" s="10"/>
      <c r="E113" s="10"/>
      <c r="F113" s="10"/>
      <c r="G113" s="10"/>
      <c r="H113" s="10"/>
      <c r="M113" s="2"/>
      <c r="O113" s="2"/>
      <c r="P113" s="2"/>
      <c r="R113" s="10"/>
      <c r="S113" s="10"/>
      <c r="T113" s="10"/>
    </row>
    <row r="114" spans="3:20" x14ac:dyDescent="0.25">
      <c r="C114" s="1"/>
      <c r="D114" s="10"/>
      <c r="E114" s="10"/>
      <c r="F114" s="10"/>
      <c r="G114" s="10"/>
      <c r="H114" s="10"/>
      <c r="M114" s="2"/>
      <c r="O114" s="2"/>
      <c r="P114" s="2"/>
      <c r="R114" s="10"/>
      <c r="S114" s="10"/>
      <c r="T114" s="10"/>
    </row>
    <row r="115" spans="3:20" x14ac:dyDescent="0.25">
      <c r="C115" s="1"/>
      <c r="D115" s="10"/>
      <c r="E115" s="10"/>
      <c r="F115" s="10"/>
      <c r="G115" s="10"/>
      <c r="H115" s="10"/>
      <c r="M115" s="2"/>
      <c r="O115" s="2"/>
      <c r="P115" s="2"/>
      <c r="R115" s="10"/>
      <c r="S115" s="10"/>
      <c r="T115" s="10"/>
    </row>
    <row r="116" spans="3:20" x14ac:dyDescent="0.25">
      <c r="C116" s="1"/>
      <c r="D116" s="10"/>
      <c r="E116" s="10"/>
      <c r="F116" s="10"/>
      <c r="G116" s="10"/>
      <c r="H116" s="10"/>
      <c r="M116" s="2"/>
      <c r="O116" s="2"/>
      <c r="P116" s="2"/>
      <c r="R116" s="10"/>
      <c r="S116" s="10"/>
      <c r="T116" s="10"/>
    </row>
    <row r="117" spans="3:20" x14ac:dyDescent="0.25">
      <c r="C117" s="1"/>
      <c r="D117" s="10"/>
      <c r="E117" s="10"/>
      <c r="F117" s="10"/>
      <c r="G117" s="10"/>
      <c r="H117" s="10"/>
      <c r="M117" s="2"/>
      <c r="O117" s="2"/>
      <c r="P117" s="2"/>
      <c r="R117" s="10"/>
      <c r="S117" s="10"/>
      <c r="T117" s="10"/>
    </row>
    <row r="118" spans="3:20" x14ac:dyDescent="0.25">
      <c r="C118" s="1"/>
      <c r="D118" s="10"/>
      <c r="E118" s="10"/>
      <c r="F118" s="10"/>
      <c r="G118" s="10"/>
      <c r="H118" s="10"/>
      <c r="M118" s="2"/>
      <c r="O118" s="2"/>
      <c r="P118" s="2"/>
      <c r="R118" s="10"/>
      <c r="S118" s="10"/>
      <c r="T118" s="10"/>
    </row>
    <row r="119" spans="3:20" x14ac:dyDescent="0.25">
      <c r="C119" s="1"/>
      <c r="D119" s="10"/>
      <c r="E119" s="10"/>
      <c r="F119" s="10"/>
      <c r="G119" s="10"/>
      <c r="H119" s="10"/>
      <c r="M119" s="2"/>
      <c r="O119" s="2"/>
      <c r="P119" s="2"/>
      <c r="R119" s="10"/>
      <c r="S119" s="10"/>
      <c r="T119" s="10"/>
    </row>
    <row r="120" spans="3:20" x14ac:dyDescent="0.25">
      <c r="C120" s="1"/>
      <c r="D120" s="10"/>
      <c r="E120" s="10"/>
      <c r="F120" s="10"/>
      <c r="G120" s="10"/>
      <c r="H120" s="10"/>
      <c r="M120" s="2"/>
      <c r="O120" s="2"/>
      <c r="P120" s="2"/>
      <c r="R120" s="10"/>
      <c r="S120" s="10"/>
      <c r="T120" s="10"/>
    </row>
    <row r="121" spans="3:20" x14ac:dyDescent="0.25">
      <c r="C121" s="1"/>
      <c r="D121" s="10"/>
      <c r="E121" s="10"/>
      <c r="F121" s="10"/>
      <c r="G121" s="10"/>
      <c r="H121" s="10"/>
      <c r="M121" s="2"/>
      <c r="O121" s="2"/>
      <c r="P121" s="2"/>
      <c r="R121" s="10"/>
      <c r="S121" s="10"/>
      <c r="T121" s="10"/>
    </row>
    <row r="122" spans="3:20" x14ac:dyDescent="0.25">
      <c r="C122" s="1"/>
      <c r="D122" s="10"/>
      <c r="E122" s="10"/>
      <c r="F122" s="10"/>
      <c r="G122" s="10"/>
      <c r="H122" s="10"/>
      <c r="M122" s="2"/>
      <c r="O122" s="2"/>
      <c r="P122" s="2"/>
      <c r="R122" s="10"/>
      <c r="S122" s="10"/>
      <c r="T122" s="10"/>
    </row>
    <row r="123" spans="3:20" x14ac:dyDescent="0.25">
      <c r="C123" s="1"/>
      <c r="D123" s="10"/>
      <c r="E123" s="10"/>
      <c r="F123" s="10"/>
      <c r="G123" s="10"/>
      <c r="H123" s="10"/>
      <c r="M123" s="2"/>
      <c r="O123" s="2"/>
      <c r="P123" s="2"/>
      <c r="R123" s="10"/>
      <c r="S123" s="10"/>
      <c r="T123" s="10"/>
    </row>
    <row r="124" spans="3:20" x14ac:dyDescent="0.25">
      <c r="C124" s="1"/>
      <c r="D124" s="10"/>
      <c r="E124" s="10"/>
      <c r="F124" s="10"/>
      <c r="G124" s="10"/>
      <c r="H124" s="10"/>
      <c r="M124" s="2"/>
      <c r="O124" s="2"/>
      <c r="P124" s="2"/>
      <c r="R124" s="10"/>
      <c r="S124" s="10"/>
      <c r="T124" s="10"/>
    </row>
    <row r="125" spans="3:20" x14ac:dyDescent="0.25">
      <c r="C125" s="1"/>
      <c r="D125" s="10"/>
      <c r="E125" s="10"/>
      <c r="F125" s="10"/>
      <c r="G125" s="10"/>
      <c r="H125" s="10"/>
      <c r="M125" s="2"/>
      <c r="O125" s="2"/>
      <c r="P125" s="2"/>
      <c r="R125" s="10"/>
      <c r="S125" s="10"/>
      <c r="T125" s="10"/>
    </row>
    <row r="126" spans="3:20" x14ac:dyDescent="0.25">
      <c r="C126" s="1"/>
      <c r="D126" s="10"/>
      <c r="E126" s="10"/>
      <c r="F126" s="10"/>
      <c r="G126" s="10"/>
      <c r="H126" s="10"/>
      <c r="M126" s="2"/>
      <c r="O126" s="2"/>
      <c r="P126" s="2"/>
      <c r="R126" s="10"/>
      <c r="S126" s="10"/>
      <c r="T126" s="10"/>
    </row>
    <row r="127" spans="3:20" x14ac:dyDescent="0.25">
      <c r="C127" s="1"/>
      <c r="D127" s="10"/>
      <c r="E127" s="10"/>
      <c r="F127" s="10"/>
      <c r="G127" s="10"/>
      <c r="H127" s="10"/>
      <c r="M127" s="2"/>
      <c r="O127" s="2"/>
      <c r="P127" s="2"/>
      <c r="R127" s="10"/>
      <c r="S127" s="10"/>
      <c r="T127" s="10"/>
    </row>
    <row r="128" spans="3:20" x14ac:dyDescent="0.25">
      <c r="C128" s="1"/>
      <c r="D128" s="10"/>
      <c r="E128" s="10"/>
      <c r="F128" s="10"/>
      <c r="G128" s="10"/>
      <c r="H128" s="10"/>
      <c r="M128" s="2"/>
      <c r="O128" s="2"/>
      <c r="P128" s="2"/>
      <c r="R128" s="10"/>
      <c r="S128" s="10"/>
      <c r="T128" s="10"/>
    </row>
    <row r="129" spans="3:20" x14ac:dyDescent="0.25">
      <c r="C129" s="1"/>
      <c r="D129" s="10"/>
      <c r="E129" s="10"/>
      <c r="F129" s="10"/>
      <c r="G129" s="10"/>
      <c r="H129" s="10"/>
      <c r="M129" s="2"/>
      <c r="O129" s="2"/>
      <c r="P129" s="2"/>
      <c r="R129" s="10"/>
      <c r="S129" s="10"/>
      <c r="T129" s="10"/>
    </row>
    <row r="130" spans="3:20" x14ac:dyDescent="0.25">
      <c r="C130" s="1"/>
      <c r="D130" s="10"/>
      <c r="E130" s="10"/>
      <c r="F130" s="10"/>
      <c r="G130" s="10"/>
      <c r="H130" s="10"/>
      <c r="M130" s="2"/>
      <c r="O130" s="2"/>
      <c r="P130" s="2"/>
      <c r="R130" s="10"/>
      <c r="S130" s="10"/>
      <c r="T130" s="10"/>
    </row>
    <row r="131" spans="3:20" x14ac:dyDescent="0.25">
      <c r="C131" s="1"/>
      <c r="D131" s="10"/>
      <c r="E131" s="10"/>
      <c r="F131" s="10"/>
      <c r="G131" s="10"/>
      <c r="H131" s="10"/>
      <c r="M131" s="2"/>
      <c r="O131" s="2"/>
      <c r="P131" s="2"/>
      <c r="R131" s="10"/>
      <c r="S131" s="10"/>
      <c r="T131" s="10"/>
    </row>
    <row r="132" spans="3:20" x14ac:dyDescent="0.25">
      <c r="C132" s="1"/>
      <c r="D132" s="10"/>
      <c r="E132" s="10"/>
      <c r="F132" s="10"/>
      <c r="G132" s="10"/>
      <c r="H132" s="10"/>
      <c r="M132" s="2"/>
      <c r="O132" s="2"/>
      <c r="P132" s="2"/>
      <c r="R132" s="10"/>
      <c r="S132" s="10"/>
      <c r="T132" s="10"/>
    </row>
    <row r="133" spans="3:20" x14ac:dyDescent="0.25">
      <c r="C133" s="1"/>
      <c r="D133" s="10"/>
      <c r="E133" s="10"/>
      <c r="F133" s="10"/>
      <c r="G133" s="10"/>
      <c r="H133" s="10"/>
      <c r="M133" s="2"/>
      <c r="O133" s="2"/>
      <c r="P133" s="2"/>
      <c r="R133" s="10"/>
      <c r="S133" s="10"/>
      <c r="T133" s="10"/>
    </row>
    <row r="134" spans="3:20" x14ac:dyDescent="0.25">
      <c r="C134" s="1"/>
      <c r="D134" s="10"/>
      <c r="E134" s="10"/>
      <c r="F134" s="10"/>
      <c r="G134" s="10"/>
      <c r="H134" s="10"/>
      <c r="M134" s="2"/>
      <c r="O134" s="2"/>
      <c r="P134" s="2"/>
      <c r="R134" s="10"/>
      <c r="S134" s="10"/>
      <c r="T134" s="10"/>
    </row>
    <row r="135" spans="3:20" x14ac:dyDescent="0.25">
      <c r="C135" s="1"/>
      <c r="D135" s="10"/>
      <c r="E135" s="10"/>
      <c r="F135" s="10"/>
      <c r="G135" s="10"/>
      <c r="H135" s="10"/>
      <c r="M135" s="2"/>
      <c r="O135" s="2"/>
      <c r="P135" s="2"/>
      <c r="R135" s="10"/>
      <c r="S135" s="10"/>
      <c r="T135" s="10"/>
    </row>
    <row r="136" spans="3:20" x14ac:dyDescent="0.25">
      <c r="C136" s="1"/>
      <c r="D136" s="10"/>
      <c r="E136" s="10"/>
      <c r="F136" s="10"/>
      <c r="G136" s="10"/>
      <c r="H136" s="10"/>
      <c r="M136" s="2"/>
      <c r="O136" s="2"/>
      <c r="P136" s="2"/>
      <c r="R136" s="10"/>
      <c r="S136" s="10"/>
      <c r="T136" s="10"/>
    </row>
    <row r="137" spans="3:20" x14ac:dyDescent="0.25">
      <c r="D137" s="10"/>
      <c r="E137" s="10"/>
      <c r="M137" s="2"/>
      <c r="R137" s="10"/>
    </row>
  </sheetData>
  <pageMargins left="0.7" right="0.7" top="0.75" bottom="0.75" header="0.3" footer="0.3"/>
  <pageSetup paperSize="9" orientation="portrait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Equation.3" shapeId="115713" r:id="rId4">
          <objectPr defaultSize="0" autoPict="0" r:id="rId5">
            <anchor moveWithCells="1" sizeWithCells="1">
              <from>
                <xdr:col>23</xdr:col>
                <xdr:colOff>358140</xdr:colOff>
                <xdr:row>15</xdr:row>
                <xdr:rowOff>30480</xdr:rowOff>
              </from>
              <to>
                <xdr:col>25</xdr:col>
                <xdr:colOff>563880</xdr:colOff>
                <xdr:row>18</xdr:row>
                <xdr:rowOff>144780</xdr:rowOff>
              </to>
            </anchor>
          </objectPr>
        </oleObject>
      </mc:Choice>
      <mc:Fallback>
        <oleObject progId="Equation.3" shapeId="115713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1"/>
  <sheetViews>
    <sheetView topLeftCell="A4" workbookViewId="0">
      <selection activeCell="F10" sqref="F10"/>
    </sheetView>
  </sheetViews>
  <sheetFormatPr defaultRowHeight="13.2" x14ac:dyDescent="0.25"/>
  <cols>
    <col min="2" max="2" width="9.44140625" customWidth="1"/>
    <col min="11" max="11" width="11.44140625" customWidth="1"/>
    <col min="13" max="14" width="11.109375" customWidth="1"/>
  </cols>
  <sheetData>
    <row r="1" spans="1:18" x14ac:dyDescent="0.25">
      <c r="B1" s="31" t="s">
        <v>44</v>
      </c>
      <c r="C1" s="31"/>
      <c r="D1" s="32"/>
      <c r="E1" s="32"/>
      <c r="F1" s="31"/>
      <c r="K1" s="2"/>
      <c r="P1" s="10"/>
    </row>
    <row r="2" spans="1:18" x14ac:dyDescent="0.25">
      <c r="D2" s="10"/>
      <c r="E2" s="19" t="s">
        <v>28</v>
      </c>
      <c r="F2" s="20"/>
      <c r="G2" s="20"/>
      <c r="H2" s="20" t="s">
        <v>31</v>
      </c>
      <c r="I2" s="20"/>
      <c r="J2" s="20" t="s">
        <v>30</v>
      </c>
      <c r="K2" s="21"/>
      <c r="P2" s="10"/>
    </row>
    <row r="3" spans="1:18" x14ac:dyDescent="0.25">
      <c r="D3" s="10"/>
      <c r="E3" s="10"/>
      <c r="K3" s="2"/>
      <c r="P3" s="10" t="s">
        <v>34</v>
      </c>
    </row>
    <row r="4" spans="1:18" x14ac:dyDescent="0.25">
      <c r="A4" s="3" t="s">
        <v>2</v>
      </c>
      <c r="B4" s="3">
        <v>5</v>
      </c>
      <c r="C4" t="s">
        <v>4</v>
      </c>
      <c r="D4" s="10" t="s">
        <v>3</v>
      </c>
      <c r="E4" s="10" t="s">
        <v>12</v>
      </c>
      <c r="F4" t="s">
        <v>6</v>
      </c>
      <c r="G4" t="s">
        <v>8</v>
      </c>
      <c r="H4" t="s">
        <v>9</v>
      </c>
      <c r="I4" t="s">
        <v>5</v>
      </c>
      <c r="J4" t="s">
        <v>10</v>
      </c>
      <c r="K4" s="2" t="s">
        <v>13</v>
      </c>
      <c r="L4" t="s">
        <v>14</v>
      </c>
      <c r="M4" t="s">
        <v>16</v>
      </c>
      <c r="P4" s="10" t="s">
        <v>32</v>
      </c>
      <c r="Q4" t="s">
        <v>35</v>
      </c>
      <c r="R4" t="s">
        <v>33</v>
      </c>
    </row>
    <row r="5" spans="1:18" x14ac:dyDescent="0.25">
      <c r="C5" s="3">
        <v>0</v>
      </c>
      <c r="D5" s="11">
        <v>0</v>
      </c>
      <c r="E5" s="10">
        <f>$F5+I5</f>
        <v>0.40387359836901121</v>
      </c>
      <c r="F5" s="3">
        <v>0.2</v>
      </c>
      <c r="G5" s="8">
        <f>F5*$B$4/($B$4+2*F5)</f>
        <v>0.18518518518518517</v>
      </c>
      <c r="H5">
        <f>$B$7/(F5*$B$4)</f>
        <v>2</v>
      </c>
      <c r="I5">
        <f>H5^2/(2*9.81)</f>
        <v>0.2038735983690112</v>
      </c>
      <c r="J5">
        <f>$B$10*I5/(4*G5)</f>
        <v>8.2568807339449529E-3</v>
      </c>
      <c r="K5" s="2">
        <f>($B$8-J5)*$B$13</f>
        <v>8.7155963302752368E-4</v>
      </c>
      <c r="L5" s="9">
        <f>1-$B$7^2/($B$4^2*F5^3*9.81)</f>
        <v>-1.0387359836901116</v>
      </c>
      <c r="M5" s="2">
        <f>K5/L5</f>
        <v>-8.3905789990186574E-4</v>
      </c>
      <c r="N5" t="s">
        <v>41</v>
      </c>
      <c r="O5" t="s">
        <v>81</v>
      </c>
      <c r="P5" s="10">
        <f>1000*9.81*F5^2*$B$4</f>
        <v>1962.0000000000005</v>
      </c>
      <c r="Q5" s="10">
        <f>F5*$B$4*1000*H5^2</f>
        <v>4000</v>
      </c>
      <c r="R5" s="10">
        <f>Q5+P5</f>
        <v>5962</v>
      </c>
    </row>
    <row r="6" spans="1:18" x14ac:dyDescent="0.25">
      <c r="C6" s="1">
        <f>C5+$B$13</f>
        <v>0.5</v>
      </c>
      <c r="D6" s="10">
        <f>-$B$8*C6</f>
        <v>-5.0000000000000001E-3</v>
      </c>
      <c r="E6" s="10">
        <f t="shared" ref="E6:E69" si="0">E5+K5</f>
        <v>0.40474515800203875</v>
      </c>
      <c r="F6" s="10">
        <f>F5+M5</f>
        <v>0.19916094210009813</v>
      </c>
      <c r="G6" s="8">
        <f t="shared" ref="G6:G69" si="1">F6*$B$4/($B$4+2*F6)</f>
        <v>0.18446560465670103</v>
      </c>
      <c r="H6">
        <f>$B$7/(F6*$B$4)</f>
        <v>2.0084259282071497</v>
      </c>
      <c r="I6">
        <f>H6^2/(2*9.81)</f>
        <v>0.20559504123826458</v>
      </c>
      <c r="J6">
        <f>$B$10*I6/(4*G6)</f>
        <v>8.359080339972581E-3</v>
      </c>
      <c r="K6" s="2">
        <f>($B$8-J6)*$B$13</f>
        <v>8.2045983001370962E-4</v>
      </c>
      <c r="L6" s="9">
        <f t="shared" ref="L6:L69" si="2">1-$B$7^2/($B$4^2*F6^3*9.81)</f>
        <v>-1.0646120576687439</v>
      </c>
      <c r="M6" s="2">
        <f t="shared" ref="M6:M69" si="3">K6/L6</f>
        <v>-7.7066554347536543E-4</v>
      </c>
      <c r="N6" s="2">
        <f>$B$18</f>
        <v>0.25360062824673085</v>
      </c>
      <c r="O6">
        <f>$B$15</f>
        <v>0.18287769855926819</v>
      </c>
      <c r="P6" s="10">
        <f t="shared" ref="P6:P69" si="4">1000*9.81*F6^2*$B$4</f>
        <v>1945.5722160946434</v>
      </c>
      <c r="Q6" s="10">
        <f t="shared" ref="Q6:Q69" si="5">F6*$B$4*1000*H6^2</f>
        <v>4016.8518564142996</v>
      </c>
      <c r="R6" s="10">
        <f t="shared" ref="R6:R69" si="6">Q6+P6</f>
        <v>5962.424072508943</v>
      </c>
    </row>
    <row r="7" spans="1:18" x14ac:dyDescent="0.25">
      <c r="A7" s="3" t="s">
        <v>1</v>
      </c>
      <c r="B7" s="3">
        <v>2</v>
      </c>
      <c r="C7" s="1">
        <f t="shared" ref="C7:C70" si="7">C6+$B$13</f>
        <v>1</v>
      </c>
      <c r="D7" s="10">
        <f t="shared" ref="D7:D70" si="8">-$B$8*C7</f>
        <v>-0.01</v>
      </c>
      <c r="E7" s="10">
        <f t="shared" si="0"/>
        <v>0.40556561783205247</v>
      </c>
      <c r="F7" s="10">
        <f t="shared" ref="F7:F70" si="9">F6+M6</f>
        <v>0.19839027655662278</v>
      </c>
      <c r="G7" s="8">
        <f t="shared" si="1"/>
        <v>0.18380428350211239</v>
      </c>
      <c r="H7">
        <f t="shared" ref="H7:H70" si="10">$B$7/(F7*$B$4)</f>
        <v>2.0162278461557341</v>
      </c>
      <c r="I7">
        <f t="shared" ref="I7:I70" si="11">H7^2/(2*9.81)</f>
        <v>0.2071954499293471</v>
      </c>
      <c r="J7">
        <f t="shared" ref="J7:J70" si="12">$B$10*I7/(4*G7)</f>
        <v>8.4544595199939621E-3</v>
      </c>
      <c r="K7" s="2">
        <f t="shared" ref="K7:K70" si="13">($B$8-J7)*$B$13</f>
        <v>7.7277024000301908E-4</v>
      </c>
      <c r="L7" s="9">
        <f t="shared" si="2"/>
        <v>-1.088766178721579</v>
      </c>
      <c r="M7" s="2">
        <f t="shared" si="3"/>
        <v>-7.0976694087834368E-4</v>
      </c>
      <c r="N7" s="2">
        <f t="shared" ref="N7:N70" si="14">$B$18</f>
        <v>0.25360062824673085</v>
      </c>
      <c r="O7">
        <f t="shared" ref="O7:O70" si="15">$B$15</f>
        <v>0.18287769855926819</v>
      </c>
      <c r="P7" s="10">
        <f t="shared" si="4"/>
        <v>1930.544324870061</v>
      </c>
      <c r="Q7" s="10">
        <f t="shared" si="5"/>
        <v>4032.4556923114678</v>
      </c>
      <c r="R7" s="10">
        <f t="shared" si="6"/>
        <v>5963.0000171815291</v>
      </c>
    </row>
    <row r="8" spans="1:18" x14ac:dyDescent="0.25">
      <c r="A8" s="3" t="s">
        <v>11</v>
      </c>
      <c r="B8" s="3">
        <f>1/100</f>
        <v>0.01</v>
      </c>
      <c r="C8" s="1">
        <f t="shared" si="7"/>
        <v>1.5</v>
      </c>
      <c r="D8" s="10">
        <f t="shared" si="8"/>
        <v>-1.4999999999999999E-2</v>
      </c>
      <c r="E8" s="10">
        <f t="shared" si="0"/>
        <v>0.40633838807205547</v>
      </c>
      <c r="F8" s="10">
        <f t="shared" si="9"/>
        <v>0.19768050961574443</v>
      </c>
      <c r="G8" s="8">
        <f t="shared" si="1"/>
        <v>0.18319488622830091</v>
      </c>
      <c r="H8">
        <f t="shared" si="10"/>
        <v>2.0234670619654334</v>
      </c>
      <c r="I8">
        <f t="shared" si="11"/>
        <v>0.20868598118547516</v>
      </c>
      <c r="J8">
        <f t="shared" si="12"/>
        <v>8.5436056164829334E-3</v>
      </c>
      <c r="K8" s="2">
        <f t="shared" si="13"/>
        <v>7.281971917585334E-4</v>
      </c>
      <c r="L8" s="9">
        <f t="shared" si="2"/>
        <v>-1.1113460461137357</v>
      </c>
      <c r="M8" s="2">
        <f t="shared" si="3"/>
        <v>-6.5523892787936312E-4</v>
      </c>
      <c r="N8" s="2">
        <f t="shared" si="14"/>
        <v>0.25360062824673085</v>
      </c>
      <c r="O8">
        <f t="shared" si="15"/>
        <v>0.18287769855926819</v>
      </c>
      <c r="P8" s="10">
        <f t="shared" si="4"/>
        <v>1916.7554894091779</v>
      </c>
      <c r="Q8" s="10">
        <f t="shared" si="5"/>
        <v>4046.9341239308665</v>
      </c>
      <c r="R8" s="10">
        <f t="shared" si="6"/>
        <v>5963.6896133400442</v>
      </c>
    </row>
    <row r="9" spans="1:18" x14ac:dyDescent="0.25">
      <c r="A9" s="6" t="s">
        <v>7</v>
      </c>
      <c r="B9" s="7"/>
      <c r="C9" s="1">
        <f t="shared" si="7"/>
        <v>2</v>
      </c>
      <c r="D9" s="10">
        <f t="shared" si="8"/>
        <v>-0.02</v>
      </c>
      <c r="E9" s="10">
        <f t="shared" si="0"/>
        <v>0.40706658526381401</v>
      </c>
      <c r="F9" s="10">
        <f t="shared" si="9"/>
        <v>0.19702527068786507</v>
      </c>
      <c r="G9" s="8">
        <f t="shared" si="1"/>
        <v>0.18263202131362918</v>
      </c>
      <c r="H9">
        <f t="shared" si="10"/>
        <v>2.0301964240602173</v>
      </c>
      <c r="I9">
        <f t="shared" si="11"/>
        <v>0.21007632621136052</v>
      </c>
      <c r="J9">
        <f t="shared" si="12"/>
        <v>8.627032845896802E-3</v>
      </c>
      <c r="K9" s="2">
        <f t="shared" si="13"/>
        <v>6.864835770515991E-4</v>
      </c>
      <c r="L9" s="9">
        <f t="shared" si="2"/>
        <v>-1.1324810312700588</v>
      </c>
      <c r="M9" s="2">
        <f t="shared" si="3"/>
        <v>-6.0617666706674911E-4</v>
      </c>
      <c r="N9" s="2">
        <f t="shared" si="14"/>
        <v>0.25360062824673085</v>
      </c>
      <c r="O9">
        <f t="shared" si="15"/>
        <v>0.18287769855926819</v>
      </c>
      <c r="P9" s="10">
        <f t="shared" si="4"/>
        <v>1904.0698550561799</v>
      </c>
      <c r="Q9" s="10">
        <f t="shared" si="5"/>
        <v>4060.3928481204343</v>
      </c>
      <c r="R9" s="10">
        <f t="shared" si="6"/>
        <v>5964.462703176614</v>
      </c>
    </row>
    <row r="10" spans="1:18" x14ac:dyDescent="0.25">
      <c r="A10" s="3" t="s">
        <v>0</v>
      </c>
      <c r="B10" s="5">
        <f>0.03</f>
        <v>0.03</v>
      </c>
      <c r="C10" s="1">
        <f t="shared" si="7"/>
        <v>2.5</v>
      </c>
      <c r="D10" s="10">
        <f t="shared" si="8"/>
        <v>-2.5000000000000001E-2</v>
      </c>
      <c r="E10" s="10">
        <f t="shared" si="0"/>
        <v>0.4077530688408656</v>
      </c>
      <c r="F10" s="10">
        <f t="shared" si="9"/>
        <v>0.19641909402079832</v>
      </c>
      <c r="G10" s="8">
        <f t="shared" si="1"/>
        <v>0.18211105838141947</v>
      </c>
      <c r="H10">
        <f t="shared" si="10"/>
        <v>2.03646189284248</v>
      </c>
      <c r="I10">
        <f t="shared" si="11"/>
        <v>0.21137497660548299</v>
      </c>
      <c r="J10">
        <f t="shared" si="12"/>
        <v>8.7051952727702653E-3</v>
      </c>
      <c r="K10" s="2">
        <f t="shared" si="13"/>
        <v>6.4740236361486743E-4</v>
      </c>
      <c r="L10" s="9">
        <f t="shared" si="2"/>
        <v>-1.1522854247876841</v>
      </c>
      <c r="M10" s="2">
        <f t="shared" si="3"/>
        <v>-5.6184201386922468E-4</v>
      </c>
      <c r="N10" s="2">
        <f t="shared" si="14"/>
        <v>0.25360062824673085</v>
      </c>
      <c r="O10">
        <f t="shared" si="15"/>
        <v>0.18287769855926819</v>
      </c>
      <c r="P10" s="10">
        <f t="shared" si="4"/>
        <v>1892.3715873264068</v>
      </c>
      <c r="Q10" s="10">
        <f t="shared" si="5"/>
        <v>4072.9237856849604</v>
      </c>
      <c r="R10" s="10">
        <f t="shared" si="6"/>
        <v>5965.2953730113677</v>
      </c>
    </row>
    <row r="11" spans="1:18" x14ac:dyDescent="0.25">
      <c r="C11" s="1">
        <f t="shared" si="7"/>
        <v>3</v>
      </c>
      <c r="D11" s="10">
        <f t="shared" si="8"/>
        <v>-0.03</v>
      </c>
      <c r="E11" s="10">
        <f t="shared" si="0"/>
        <v>0.40840047120448048</v>
      </c>
      <c r="F11" s="10">
        <f t="shared" si="9"/>
        <v>0.19585725200692911</v>
      </c>
      <c r="G11" s="8">
        <f t="shared" si="1"/>
        <v>0.18162798851935064</v>
      </c>
      <c r="H11">
        <f t="shared" si="10"/>
        <v>2.0423037487825506</v>
      </c>
      <c r="I11">
        <f t="shared" si="11"/>
        <v>0.21258942927070637</v>
      </c>
      <c r="J11">
        <f t="shared" si="12"/>
        <v>8.7784968193953677E-3</v>
      </c>
      <c r="K11" s="2">
        <f t="shared" si="13"/>
        <v>6.1075159030231623E-4</v>
      </c>
      <c r="L11" s="9">
        <f t="shared" si="2"/>
        <v>-1.1708609417555325</v>
      </c>
      <c r="M11" s="2">
        <f t="shared" si="3"/>
        <v>-5.2162606892205727E-4</v>
      </c>
      <c r="N11" s="2">
        <f t="shared" si="14"/>
        <v>0.25360062824673085</v>
      </c>
      <c r="O11">
        <f t="shared" si="15"/>
        <v>0.18287769855926819</v>
      </c>
      <c r="P11" s="10">
        <f t="shared" si="4"/>
        <v>1881.5610981797663</v>
      </c>
      <c r="Q11" s="10">
        <f t="shared" si="5"/>
        <v>4084.6074975651013</v>
      </c>
      <c r="R11" s="10">
        <f t="shared" si="6"/>
        <v>5966.1685957448681</v>
      </c>
    </row>
    <row r="12" spans="1:18" x14ac:dyDescent="0.25">
      <c r="B12" s="1"/>
      <c r="C12" s="1">
        <f t="shared" si="7"/>
        <v>3.5</v>
      </c>
      <c r="D12" s="10">
        <f t="shared" si="8"/>
        <v>-3.5000000000000003E-2</v>
      </c>
      <c r="E12" s="10">
        <f t="shared" si="0"/>
        <v>0.4090112227947828</v>
      </c>
      <c r="F12" s="10">
        <f t="shared" si="9"/>
        <v>0.19533562593800705</v>
      </c>
      <c r="G12" s="8">
        <f t="shared" si="1"/>
        <v>0.18117931590618519</v>
      </c>
      <c r="H12">
        <f t="shared" si="10"/>
        <v>2.0477575356732238</v>
      </c>
      <c r="I12">
        <f t="shared" si="11"/>
        <v>0.21372634683519237</v>
      </c>
      <c r="J12">
        <f t="shared" si="12"/>
        <v>8.8472991149494695E-3</v>
      </c>
      <c r="K12" s="2">
        <f t="shared" si="13"/>
        <v>5.7635044252526534E-4</v>
      </c>
      <c r="L12" s="9">
        <f t="shared" si="2"/>
        <v>-1.1882986865183716</v>
      </c>
      <c r="M12" s="2">
        <f t="shared" si="3"/>
        <v>-4.8502152620729565E-4</v>
      </c>
      <c r="N12" s="2">
        <f t="shared" si="14"/>
        <v>0.25360062824673085</v>
      </c>
      <c r="O12">
        <f t="shared" si="15"/>
        <v>0.18287769855926819</v>
      </c>
      <c r="P12" s="10">
        <f t="shared" si="4"/>
        <v>1871.5521316070872</v>
      </c>
      <c r="Q12" s="10">
        <f t="shared" si="5"/>
        <v>4095.5150713464473</v>
      </c>
      <c r="R12" s="10">
        <f t="shared" si="6"/>
        <v>5967.0672029535344</v>
      </c>
    </row>
    <row r="13" spans="1:18" x14ac:dyDescent="0.25">
      <c r="A13" s="4" t="s">
        <v>29</v>
      </c>
      <c r="B13" s="1">
        <v>0.5</v>
      </c>
      <c r="C13" s="1">
        <f t="shared" si="7"/>
        <v>4</v>
      </c>
      <c r="D13" s="10">
        <f t="shared" si="8"/>
        <v>-0.04</v>
      </c>
      <c r="E13" s="10">
        <f t="shared" si="0"/>
        <v>0.40958757323730804</v>
      </c>
      <c r="F13" s="10">
        <f t="shared" si="9"/>
        <v>0.19485060441179974</v>
      </c>
      <c r="G13" s="8">
        <f t="shared" si="1"/>
        <v>0.18076197256798343</v>
      </c>
      <c r="H13">
        <f t="shared" si="10"/>
        <v>2.0528548074433219</v>
      </c>
      <c r="I13">
        <f t="shared" si="11"/>
        <v>0.21479168503787757</v>
      </c>
      <c r="J13">
        <f t="shared" si="12"/>
        <v>8.9119277406547338E-3</v>
      </c>
      <c r="K13" s="2">
        <f t="shared" si="13"/>
        <v>5.4403612967263322E-4</v>
      </c>
      <c r="L13" s="9">
        <f t="shared" si="2"/>
        <v>-1.2046807161442934</v>
      </c>
      <c r="M13" s="2">
        <f t="shared" si="3"/>
        <v>-4.516019243786667E-4</v>
      </c>
      <c r="N13" s="2">
        <f t="shared" si="14"/>
        <v>0.25360062824673085</v>
      </c>
      <c r="O13">
        <f t="shared" si="15"/>
        <v>0.18287769855926819</v>
      </c>
      <c r="P13" s="10">
        <f t="shared" si="4"/>
        <v>1862.2694818445223</v>
      </c>
      <c r="Q13" s="10">
        <f t="shared" si="5"/>
        <v>4105.709614886644</v>
      </c>
      <c r="R13" s="10">
        <f t="shared" si="6"/>
        <v>5967.9790967311665</v>
      </c>
    </row>
    <row r="14" spans="1:18" x14ac:dyDescent="0.25">
      <c r="A14" s="4"/>
      <c r="B14" s="1"/>
      <c r="C14" s="1">
        <f t="shared" si="7"/>
        <v>4.5</v>
      </c>
      <c r="D14" s="10">
        <f t="shared" si="8"/>
        <v>-4.4999999999999998E-2</v>
      </c>
      <c r="E14" s="10">
        <f t="shared" si="0"/>
        <v>0.41013160936698068</v>
      </c>
      <c r="F14" s="10">
        <f t="shared" si="9"/>
        <v>0.19439900248742109</v>
      </c>
      <c r="G14" s="8">
        <f t="shared" si="1"/>
        <v>0.18037325049849282</v>
      </c>
      <c r="H14">
        <f t="shared" si="10"/>
        <v>2.0576237268804021</v>
      </c>
      <c r="I14">
        <f t="shared" si="11"/>
        <v>0.2157907951794697</v>
      </c>
      <c r="J14">
        <f t="shared" si="12"/>
        <v>8.9726772643571456E-3</v>
      </c>
      <c r="K14" s="2">
        <f t="shared" si="13"/>
        <v>5.1366136782142729E-4</v>
      </c>
      <c r="L14" s="9">
        <f t="shared" si="2"/>
        <v>-1.2200813010183307</v>
      </c>
      <c r="M14" s="2">
        <f t="shared" si="3"/>
        <v>-4.2100585214502025E-4</v>
      </c>
      <c r="N14" s="2">
        <f t="shared" si="14"/>
        <v>0.25360062824673085</v>
      </c>
      <c r="O14">
        <f t="shared" si="15"/>
        <v>0.18287769855926819</v>
      </c>
      <c r="P14" s="10">
        <f t="shared" si="4"/>
        <v>1853.6471848455185</v>
      </c>
      <c r="Q14" s="10">
        <f t="shared" si="5"/>
        <v>4115.2474537608041</v>
      </c>
      <c r="R14" s="10">
        <f t="shared" si="6"/>
        <v>5968.8946386063226</v>
      </c>
    </row>
    <row r="15" spans="1:18" x14ac:dyDescent="0.25">
      <c r="A15" t="s">
        <v>18</v>
      </c>
      <c r="B15">
        <f>($B$10*$B$7^2/(8*9.81*$B$4^2*$B$8))^(1/3)</f>
        <v>0.18287769855926819</v>
      </c>
      <c r="C15" s="1">
        <f t="shared" si="7"/>
        <v>5</v>
      </c>
      <c r="D15" s="10">
        <f t="shared" si="8"/>
        <v>-0.05</v>
      </c>
      <c r="E15" s="10">
        <f t="shared" si="0"/>
        <v>0.41064527073480211</v>
      </c>
      <c r="F15" s="10">
        <f t="shared" si="9"/>
        <v>0.19397799663527607</v>
      </c>
      <c r="G15" s="8">
        <f t="shared" si="1"/>
        <v>0.1800107470045697</v>
      </c>
      <c r="H15">
        <f t="shared" si="10"/>
        <v>2.0620895510746688</v>
      </c>
      <c r="I15">
        <f t="shared" si="11"/>
        <v>0.21672850747458355</v>
      </c>
      <c r="J15">
        <f t="shared" si="12"/>
        <v>9.0298153477365046E-3</v>
      </c>
      <c r="K15" s="2">
        <f t="shared" si="13"/>
        <v>4.8509232613174781E-4</v>
      </c>
      <c r="L15" s="9">
        <f t="shared" si="2"/>
        <v>-1.2345679534167342</v>
      </c>
      <c r="M15" s="2">
        <f t="shared" si="3"/>
        <v>-3.929247675587466E-4</v>
      </c>
      <c r="N15" s="2">
        <f t="shared" si="14"/>
        <v>0.25360062824673085</v>
      </c>
      <c r="O15">
        <f t="shared" si="15"/>
        <v>0.18287769855926819</v>
      </c>
      <c r="P15" s="10">
        <f t="shared" si="4"/>
        <v>1845.6270689120556</v>
      </c>
      <c r="Q15" s="10">
        <f t="shared" si="5"/>
        <v>4124.1791021493382</v>
      </c>
      <c r="R15" s="10">
        <f t="shared" si="6"/>
        <v>5969.8061710613938</v>
      </c>
    </row>
    <row r="16" spans="1:18" x14ac:dyDescent="0.25">
      <c r="A16" t="s">
        <v>17</v>
      </c>
      <c r="B16">
        <f>$B$7/($B$4*B15)</f>
        <v>2.1872541220238806</v>
      </c>
      <c r="C16" s="1">
        <f t="shared" si="7"/>
        <v>5.5</v>
      </c>
      <c r="D16" s="10">
        <f t="shared" si="8"/>
        <v>-5.5E-2</v>
      </c>
      <c r="E16" s="10">
        <f t="shared" si="0"/>
        <v>0.41113036306093387</v>
      </c>
      <c r="F16" s="10">
        <f t="shared" si="9"/>
        <v>0.19358507186771731</v>
      </c>
      <c r="G16" s="8">
        <f t="shared" si="1"/>
        <v>0.17967232025596139</v>
      </c>
      <c r="H16">
        <f t="shared" si="10"/>
        <v>2.0662750290649083</v>
      </c>
      <c r="I16">
        <f t="shared" si="11"/>
        <v>0.21760919957885769</v>
      </c>
      <c r="J16">
        <f t="shared" si="12"/>
        <v>9.0835861334477401E-3</v>
      </c>
      <c r="K16" s="2">
        <f t="shared" si="13"/>
        <v>4.5820693327613005E-4</v>
      </c>
      <c r="L16" s="9">
        <f t="shared" si="2"/>
        <v>-1.2482022759229787</v>
      </c>
      <c r="M16" s="2">
        <f t="shared" si="3"/>
        <v>-3.6709349286942342E-4</v>
      </c>
      <c r="N16" s="2">
        <f t="shared" si="14"/>
        <v>0.25360062824673085</v>
      </c>
      <c r="O16">
        <f t="shared" si="15"/>
        <v>0.18287769855926819</v>
      </c>
      <c r="P16" s="10">
        <f t="shared" si="4"/>
        <v>1838.157581453936</v>
      </c>
      <c r="Q16" s="10">
        <f t="shared" si="5"/>
        <v>4132.5500581298165</v>
      </c>
      <c r="R16" s="10">
        <f t="shared" si="6"/>
        <v>5970.7076395837521</v>
      </c>
    </row>
    <row r="17" spans="1:18" x14ac:dyDescent="0.25">
      <c r="C17" s="1">
        <f t="shared" si="7"/>
        <v>6</v>
      </c>
      <c r="D17" s="10">
        <f t="shared" si="8"/>
        <v>-0.06</v>
      </c>
      <c r="E17" s="10">
        <f t="shared" si="0"/>
        <v>0.41158856999421001</v>
      </c>
      <c r="F17" s="12">
        <f t="shared" si="9"/>
        <v>0.19321797837484789</v>
      </c>
      <c r="G17" s="13">
        <f t="shared" si="1"/>
        <v>0.17935605280215772</v>
      </c>
      <c r="H17" s="14">
        <f t="shared" si="10"/>
        <v>2.0702007306172598</v>
      </c>
      <c r="I17" s="14">
        <f t="shared" si="11"/>
        <v>0.21843685346830968</v>
      </c>
      <c r="J17" s="14">
        <f t="shared" si="12"/>
        <v>9.1342130662267432E-3</v>
      </c>
      <c r="K17" s="15">
        <f t="shared" si="13"/>
        <v>4.3289346688662848E-4</v>
      </c>
      <c r="L17" s="9">
        <f t="shared" si="2"/>
        <v>-1.2610406682191502</v>
      </c>
      <c r="M17" s="2">
        <f t="shared" si="3"/>
        <v>-3.4328271704192018E-4</v>
      </c>
      <c r="N17" s="2">
        <f t="shared" si="14"/>
        <v>0.25360062824673085</v>
      </c>
      <c r="O17">
        <f t="shared" si="15"/>
        <v>0.18287769855926819</v>
      </c>
      <c r="P17" s="10">
        <f t="shared" si="4"/>
        <v>1831.1928305542594</v>
      </c>
      <c r="Q17" s="10">
        <f t="shared" si="5"/>
        <v>4140.40146123452</v>
      </c>
      <c r="R17" s="10">
        <f t="shared" si="6"/>
        <v>5971.5942917887796</v>
      </c>
    </row>
    <row r="18" spans="1:18" x14ac:dyDescent="0.25">
      <c r="A18" t="s">
        <v>15</v>
      </c>
      <c r="B18" s="9">
        <f>($B$7^2/($B$4^2*9.81))^(1/3)</f>
        <v>0.25360062824673085</v>
      </c>
      <c r="C18" s="1">
        <f t="shared" si="7"/>
        <v>6.5</v>
      </c>
      <c r="D18" s="10">
        <f t="shared" si="8"/>
        <v>-6.5000000000000002E-2</v>
      </c>
      <c r="E18" s="10">
        <f t="shared" si="0"/>
        <v>0.41202146346109664</v>
      </c>
      <c r="F18" s="12">
        <f t="shared" si="9"/>
        <v>0.19287469565780596</v>
      </c>
      <c r="G18" s="13">
        <f t="shared" si="1"/>
        <v>0.17906022137681682</v>
      </c>
      <c r="H18" s="14">
        <f t="shared" si="10"/>
        <v>2.0738853203930452</v>
      </c>
      <c r="I18" s="14">
        <f t="shared" si="11"/>
        <v>0.21921510306532946</v>
      </c>
      <c r="J18" s="14">
        <f t="shared" si="12"/>
        <v>9.1819012639891475E-3</v>
      </c>
      <c r="K18" s="15">
        <f t="shared" si="13"/>
        <v>4.0904936800542635E-4</v>
      </c>
      <c r="L18" s="9">
        <f t="shared" si="2"/>
        <v>-1.2731349212781757</v>
      </c>
      <c r="M18" s="2">
        <f t="shared" si="3"/>
        <v>-3.2129302336217233E-4</v>
      </c>
      <c r="N18" s="2">
        <f t="shared" si="14"/>
        <v>0.25360062824673085</v>
      </c>
      <c r="O18">
        <f t="shared" si="15"/>
        <v>0.18287769855926819</v>
      </c>
      <c r="P18" s="10">
        <f t="shared" si="4"/>
        <v>1824.6917954407272</v>
      </c>
      <c r="Q18" s="10">
        <f t="shared" si="5"/>
        <v>4147.7706407860915</v>
      </c>
      <c r="R18" s="10">
        <f t="shared" si="6"/>
        <v>5972.4624362268187</v>
      </c>
    </row>
    <row r="19" spans="1:18" x14ac:dyDescent="0.25">
      <c r="C19" s="1">
        <f t="shared" si="7"/>
        <v>7</v>
      </c>
      <c r="D19" s="10">
        <f t="shared" si="8"/>
        <v>-7.0000000000000007E-2</v>
      </c>
      <c r="E19" s="10">
        <f t="shared" si="0"/>
        <v>0.41243051282910204</v>
      </c>
      <c r="F19" s="12">
        <f t="shared" si="9"/>
        <v>0.19255340263444379</v>
      </c>
      <c r="G19" s="13">
        <f t="shared" si="1"/>
        <v>0.17878327171342823</v>
      </c>
      <c r="H19" s="14">
        <f t="shared" si="10"/>
        <v>2.0773457883753248</v>
      </c>
      <c r="I19" s="14">
        <f t="shared" si="11"/>
        <v>0.2199472744383639</v>
      </c>
      <c r="J19" s="14">
        <f t="shared" si="12"/>
        <v>9.2268395274244727E-3</v>
      </c>
      <c r="K19" s="15">
        <f t="shared" si="13"/>
        <v>3.8658023628776374E-4</v>
      </c>
      <c r="L19" s="9">
        <f t="shared" si="2"/>
        <v>-1.2845327210958351</v>
      </c>
      <c r="M19" s="2">
        <f t="shared" si="3"/>
        <v>-3.0095008865011402E-4</v>
      </c>
      <c r="N19" s="2">
        <f t="shared" si="14"/>
        <v>0.25360062824673085</v>
      </c>
      <c r="O19">
        <f t="shared" si="15"/>
        <v>0.18287769855926819</v>
      </c>
      <c r="P19" s="10">
        <f t="shared" si="4"/>
        <v>1818.6176710823142</v>
      </c>
      <c r="Q19" s="10">
        <f t="shared" si="5"/>
        <v>4154.6915767506489</v>
      </c>
      <c r="R19" s="10">
        <f t="shared" si="6"/>
        <v>5973.3092478329636</v>
      </c>
    </row>
    <row r="20" spans="1:18" x14ac:dyDescent="0.25">
      <c r="A20" s="3" t="s">
        <v>22</v>
      </c>
      <c r="C20" s="1">
        <f t="shared" si="7"/>
        <v>7.5</v>
      </c>
      <c r="D20" s="10">
        <f t="shared" si="8"/>
        <v>-7.4999999999999997E-2</v>
      </c>
      <c r="E20" s="10">
        <f t="shared" si="0"/>
        <v>0.41281709306538977</v>
      </c>
      <c r="F20" s="10">
        <f t="shared" si="9"/>
        <v>0.19225245254579368</v>
      </c>
      <c r="G20" s="8">
        <f t="shared" si="1"/>
        <v>0.17852379739128826</v>
      </c>
      <c r="H20">
        <f t="shared" si="10"/>
        <v>2.0805976449362684</v>
      </c>
      <c r="I20">
        <f t="shared" si="11"/>
        <v>0.2206364199854407</v>
      </c>
      <c r="J20">
        <f t="shared" si="12"/>
        <v>9.2692020563727717E-3</v>
      </c>
      <c r="K20" s="2">
        <f t="shared" si="13"/>
        <v>3.6539897181361424E-4</v>
      </c>
      <c r="L20" s="9">
        <f t="shared" si="2"/>
        <v>-1.2952780790443863</v>
      </c>
      <c r="M20" s="2">
        <f t="shared" si="3"/>
        <v>-2.8210079188801959E-4</v>
      </c>
      <c r="N20" s="2">
        <f t="shared" si="14"/>
        <v>0.25360062824673085</v>
      </c>
      <c r="O20">
        <f t="shared" si="15"/>
        <v>0.18287769855926819</v>
      </c>
      <c r="P20" s="10">
        <f t="shared" si="4"/>
        <v>1812.9373202592535</v>
      </c>
      <c r="Q20" s="10">
        <f t="shared" si="5"/>
        <v>4161.1952898725376</v>
      </c>
      <c r="R20" s="10">
        <f t="shared" si="6"/>
        <v>5974.1326101317909</v>
      </c>
    </row>
    <row r="21" spans="1:18" x14ac:dyDescent="0.25">
      <c r="A21" s="3" t="s">
        <v>23</v>
      </c>
      <c r="C21" s="1">
        <f t="shared" si="7"/>
        <v>8</v>
      </c>
      <c r="D21" s="10">
        <f t="shared" si="8"/>
        <v>-0.08</v>
      </c>
      <c r="E21" s="10">
        <f t="shared" si="0"/>
        <v>0.41318249203720336</v>
      </c>
      <c r="F21" s="10">
        <f t="shared" si="9"/>
        <v>0.19197035175390567</v>
      </c>
      <c r="G21" s="8">
        <f t="shared" si="1"/>
        <v>0.17828052195005675</v>
      </c>
      <c r="H21">
        <f t="shared" si="10"/>
        <v>2.0836550870770698</v>
      </c>
      <c r="I21">
        <f t="shared" si="11"/>
        <v>0.22128534770143482</v>
      </c>
      <c r="J21">
        <f t="shared" si="12"/>
        <v>9.3091499262364184E-3</v>
      </c>
      <c r="K21" s="2">
        <f t="shared" si="13"/>
        <v>3.4542503688179092E-4</v>
      </c>
      <c r="L21" s="9">
        <f t="shared" si="2"/>
        <v>-1.3054117021685636</v>
      </c>
      <c r="M21" s="2">
        <f t="shared" si="3"/>
        <v>-2.6461003552210173E-4</v>
      </c>
      <c r="N21" s="2">
        <f t="shared" si="14"/>
        <v>0.25360062824673085</v>
      </c>
      <c r="O21">
        <f t="shared" si="15"/>
        <v>0.18287769855926819</v>
      </c>
      <c r="P21" s="10">
        <f t="shared" si="4"/>
        <v>1807.6208124710211</v>
      </c>
      <c r="Q21" s="10">
        <f t="shared" si="5"/>
        <v>4167.3101741541404</v>
      </c>
      <c r="R21" s="10">
        <f t="shared" si="6"/>
        <v>5974.9309866251615</v>
      </c>
    </row>
    <row r="22" spans="1:18" x14ac:dyDescent="0.25">
      <c r="A22" s="3" t="s">
        <v>24</v>
      </c>
      <c r="C22" s="1">
        <f t="shared" si="7"/>
        <v>8.5</v>
      </c>
      <c r="D22" s="10">
        <f t="shared" si="8"/>
        <v>-8.5000000000000006E-2</v>
      </c>
      <c r="E22" s="10">
        <f t="shared" si="0"/>
        <v>0.41352791707408515</v>
      </c>
      <c r="F22" s="10">
        <f t="shared" si="9"/>
        <v>0.19170574171838356</v>
      </c>
      <c r="G22" s="8">
        <f t="shared" si="1"/>
        <v>0.17805228367570256</v>
      </c>
      <c r="H22">
        <f t="shared" si="10"/>
        <v>2.0865311409796035</v>
      </c>
      <c r="I22">
        <f t="shared" si="11"/>
        <v>0.2218966463953948</v>
      </c>
      <c r="J22">
        <f t="shared" si="12"/>
        <v>9.346832366366133E-3</v>
      </c>
      <c r="K22" s="2">
        <f t="shared" si="13"/>
        <v>3.2658381681693362E-4</v>
      </c>
      <c r="L22" s="9">
        <f t="shared" si="2"/>
        <v>-1.3149713139146528</v>
      </c>
      <c r="M22" s="2">
        <f t="shared" si="3"/>
        <v>-2.4835813022011693E-4</v>
      </c>
      <c r="N22" s="2">
        <f t="shared" si="14"/>
        <v>0.25360062824673085</v>
      </c>
      <c r="O22">
        <f t="shared" si="15"/>
        <v>0.18287769855926819</v>
      </c>
      <c r="P22" s="10">
        <f t="shared" si="4"/>
        <v>1802.6410335523735</v>
      </c>
      <c r="Q22" s="10">
        <f t="shared" si="5"/>
        <v>4173.0622819592072</v>
      </c>
      <c r="R22" s="10">
        <f t="shared" si="6"/>
        <v>5975.7033155115805</v>
      </c>
    </row>
    <row r="23" spans="1:18" x14ac:dyDescent="0.25">
      <c r="C23" s="1">
        <f t="shared" si="7"/>
        <v>9</v>
      </c>
      <c r="D23" s="10">
        <f t="shared" si="8"/>
        <v>-0.09</v>
      </c>
      <c r="E23" s="10">
        <f t="shared" si="0"/>
        <v>0.41385450089090209</v>
      </c>
      <c r="F23" s="10">
        <f t="shared" si="9"/>
        <v>0.19145738358816344</v>
      </c>
      <c r="G23" s="8">
        <f t="shared" si="1"/>
        <v>0.17783802258547995</v>
      </c>
      <c r="H23">
        <f t="shared" si="10"/>
        <v>2.0892377849497019</v>
      </c>
      <c r="I23">
        <f t="shared" si="11"/>
        <v>0.22247270754645956</v>
      </c>
      <c r="J23">
        <f t="shared" si="12"/>
        <v>9.3823878737542797E-3</v>
      </c>
      <c r="K23" s="2">
        <f t="shared" si="13"/>
        <v>3.0880606312286025E-4</v>
      </c>
      <c r="L23" s="9">
        <f t="shared" si="2"/>
        <v>-1.3239919336306403</v>
      </c>
      <c r="M23" s="2">
        <f t="shared" si="3"/>
        <v>-2.3323862878533912E-4</v>
      </c>
      <c r="N23" s="2">
        <f t="shared" si="14"/>
        <v>0.25360062824673085</v>
      </c>
      <c r="O23">
        <f t="shared" si="15"/>
        <v>0.18287769855926819</v>
      </c>
      <c r="P23" s="10">
        <f t="shared" si="4"/>
        <v>1797.9733532773539</v>
      </c>
      <c r="Q23" s="10">
        <f t="shared" si="5"/>
        <v>4178.475569899404</v>
      </c>
      <c r="R23" s="10">
        <f t="shared" si="6"/>
        <v>5976.4489231767584</v>
      </c>
    </row>
    <row r="24" spans="1:18" x14ac:dyDescent="0.25">
      <c r="C24" s="1">
        <f t="shared" si="7"/>
        <v>9.5</v>
      </c>
      <c r="D24" s="10">
        <f t="shared" si="8"/>
        <v>-9.5000000000000001E-2</v>
      </c>
      <c r="E24" s="10">
        <f t="shared" si="0"/>
        <v>0.41416330695402492</v>
      </c>
      <c r="F24" s="10">
        <f t="shared" si="9"/>
        <v>0.19122414495937812</v>
      </c>
      <c r="G24" s="8">
        <f t="shared" si="1"/>
        <v>0.17763676923523636</v>
      </c>
      <c r="H24">
        <f t="shared" si="10"/>
        <v>2.0917860560180426</v>
      </c>
      <c r="I24">
        <f t="shared" si="11"/>
        <v>0.22301574435023025</v>
      </c>
      <c r="J24">
        <f t="shared" si="12"/>
        <v>9.4159451887562418E-3</v>
      </c>
      <c r="K24" s="2">
        <f t="shared" si="13"/>
        <v>2.9202740562187923E-4</v>
      </c>
      <c r="L24" s="9">
        <f t="shared" si="2"/>
        <v>-1.3325061215214804</v>
      </c>
      <c r="M24" s="2">
        <f t="shared" si="3"/>
        <v>-2.1915652086343653E-4</v>
      </c>
      <c r="N24" s="2">
        <f t="shared" si="14"/>
        <v>0.25360062824673085</v>
      </c>
      <c r="O24">
        <f t="shared" si="15"/>
        <v>0.18287769855926819</v>
      </c>
      <c r="P24" s="10">
        <f t="shared" si="4"/>
        <v>1793.5953408375899</v>
      </c>
      <c r="Q24" s="10">
        <f t="shared" si="5"/>
        <v>4183.5721120360849</v>
      </c>
      <c r="R24" s="10">
        <f t="shared" si="6"/>
        <v>5977.1674528736748</v>
      </c>
    </row>
    <row r="25" spans="1:18" x14ac:dyDescent="0.25">
      <c r="C25" s="1">
        <f t="shared" si="7"/>
        <v>10</v>
      </c>
      <c r="D25" s="10">
        <f t="shared" si="8"/>
        <v>-0.1</v>
      </c>
      <c r="E25" s="10">
        <f t="shared" si="0"/>
        <v>0.41445533435964682</v>
      </c>
      <c r="F25" s="10">
        <f t="shared" si="9"/>
        <v>0.19100498843851468</v>
      </c>
      <c r="G25" s="8">
        <f t="shared" si="1"/>
        <v>0.17744763504632841</v>
      </c>
      <c r="H25">
        <f t="shared" si="10"/>
        <v>2.0941861428334461</v>
      </c>
      <c r="I25">
        <f t="shared" si="11"/>
        <v>0.22352780840140804</v>
      </c>
      <c r="J25">
        <f t="shared" si="12"/>
        <v>9.4476241544321909E-3</v>
      </c>
      <c r="K25" s="2">
        <f t="shared" si="13"/>
        <v>2.7618792278390463E-4</v>
      </c>
      <c r="L25" s="9">
        <f t="shared" si="2"/>
        <v>-1.340544194460791</v>
      </c>
      <c r="M25" s="2">
        <f t="shared" si="3"/>
        <v>-2.0602671954056398E-4</v>
      </c>
      <c r="N25" s="2">
        <f t="shared" si="14"/>
        <v>0.25360062824673085</v>
      </c>
      <c r="O25">
        <f t="shared" si="15"/>
        <v>0.18287769855926819</v>
      </c>
      <c r="P25" s="10">
        <f t="shared" si="4"/>
        <v>1789.4865200918789</v>
      </c>
      <c r="Q25" s="10">
        <f t="shared" si="5"/>
        <v>4188.3722856668919</v>
      </c>
      <c r="R25" s="10">
        <f t="shared" si="6"/>
        <v>5977.8588057587713</v>
      </c>
    </row>
    <row r="26" spans="1:18" x14ac:dyDescent="0.25">
      <c r="C26" s="1">
        <f t="shared" si="7"/>
        <v>10.5</v>
      </c>
      <c r="D26" s="10">
        <f t="shared" si="8"/>
        <v>-0.105</v>
      </c>
      <c r="E26" s="10">
        <f t="shared" si="0"/>
        <v>0.41473152228243071</v>
      </c>
      <c r="F26" s="10">
        <f t="shared" si="9"/>
        <v>0.19079896171897412</v>
      </c>
      <c r="G26" s="8">
        <f t="shared" si="1"/>
        <v>0.1772698039071314</v>
      </c>
      <c r="H26">
        <f t="shared" si="10"/>
        <v>2.096447466989658</v>
      </c>
      <c r="I26">
        <f t="shared" si="11"/>
        <v>0.22401080437550219</v>
      </c>
      <c r="J26">
        <f t="shared" si="12"/>
        <v>9.4775364770890817E-3</v>
      </c>
      <c r="K26" s="2">
        <f t="shared" si="13"/>
        <v>2.6123176145545924E-4</v>
      </c>
      <c r="L26" s="9">
        <f t="shared" si="2"/>
        <v>-1.3481344170566869</v>
      </c>
      <c r="M26" s="2">
        <f t="shared" si="3"/>
        <v>-1.9377278567354821E-4</v>
      </c>
      <c r="N26" s="2">
        <f t="shared" si="14"/>
        <v>0.25360062824673085</v>
      </c>
      <c r="O26">
        <f t="shared" si="15"/>
        <v>0.18287769855926819</v>
      </c>
      <c r="P26" s="10">
        <f t="shared" si="4"/>
        <v>1785.6281580485411</v>
      </c>
      <c r="Q26" s="10">
        <f t="shared" si="5"/>
        <v>4192.8949339793162</v>
      </c>
      <c r="R26" s="10">
        <f t="shared" si="6"/>
        <v>5978.5230920278573</v>
      </c>
    </row>
    <row r="27" spans="1:18" x14ac:dyDescent="0.25">
      <c r="C27" s="1">
        <f t="shared" si="7"/>
        <v>11</v>
      </c>
      <c r="D27" s="10">
        <f t="shared" si="8"/>
        <v>-0.11</v>
      </c>
      <c r="E27" s="10">
        <f t="shared" si="0"/>
        <v>0.41499275404388619</v>
      </c>
      <c r="F27" s="10">
        <f t="shared" si="9"/>
        <v>0.19060518893330058</v>
      </c>
      <c r="G27" s="8">
        <f t="shared" si="1"/>
        <v>0.17710252484949923</v>
      </c>
      <c r="H27">
        <f t="shared" si="10"/>
        <v>2.0985787545373382</v>
      </c>
      <c r="I27">
        <f t="shared" si="11"/>
        <v>0.22446650300690549</v>
      </c>
      <c r="J27">
        <f t="shared" si="12"/>
        <v>9.5057864024379046E-3</v>
      </c>
      <c r="K27" s="2">
        <f t="shared" si="13"/>
        <v>2.4710679878104779E-4</v>
      </c>
      <c r="L27" s="9">
        <f t="shared" si="2"/>
        <v>-1.3553031715779174</v>
      </c>
      <c r="M27" s="2">
        <f t="shared" si="3"/>
        <v>-1.8232584705999962E-4</v>
      </c>
      <c r="N27" s="2">
        <f t="shared" si="14"/>
        <v>0.25360062824673085</v>
      </c>
      <c r="O27">
        <f t="shared" si="15"/>
        <v>0.18287769855926819</v>
      </c>
      <c r="P27" s="10">
        <f t="shared" si="4"/>
        <v>1782.0030812690763</v>
      </c>
      <c r="Q27" s="10">
        <f t="shared" si="5"/>
        <v>4197.1575090746765</v>
      </c>
      <c r="R27" s="10">
        <f t="shared" si="6"/>
        <v>5979.160590343753</v>
      </c>
    </row>
    <row r="28" spans="1:18" x14ac:dyDescent="0.25">
      <c r="C28" s="1">
        <f t="shared" si="7"/>
        <v>11.5</v>
      </c>
      <c r="D28" s="10">
        <f t="shared" si="8"/>
        <v>-0.115</v>
      </c>
      <c r="E28" s="10">
        <f t="shared" si="0"/>
        <v>0.41523986084266723</v>
      </c>
      <c r="F28" s="10">
        <f t="shared" si="9"/>
        <v>0.1904228630862406</v>
      </c>
      <c r="G28" s="8">
        <f t="shared" si="1"/>
        <v>0.17694510563648211</v>
      </c>
      <c r="H28">
        <f t="shared" si="10"/>
        <v>2.1005880991236019</v>
      </c>
      <c r="I28">
        <f t="shared" si="11"/>
        <v>0.22489655260854777</v>
      </c>
      <c r="J28">
        <f t="shared" si="12"/>
        <v>9.5324713192651515E-3</v>
      </c>
      <c r="K28" s="2">
        <f t="shared" si="13"/>
        <v>2.3376434036742437E-4</v>
      </c>
      <c r="L28" s="9">
        <f t="shared" si="2"/>
        <v>-1.3620751097172015</v>
      </c>
      <c r="M28" s="2">
        <f t="shared" si="3"/>
        <v>-1.7162367823897706E-4</v>
      </c>
      <c r="N28" s="2">
        <f t="shared" si="14"/>
        <v>0.25360062824673085</v>
      </c>
      <c r="O28">
        <f t="shared" si="15"/>
        <v>0.18287769855926819</v>
      </c>
      <c r="P28" s="10">
        <f t="shared" si="4"/>
        <v>1778.5955158513934</v>
      </c>
      <c r="Q28" s="10">
        <f t="shared" si="5"/>
        <v>4201.1761982472044</v>
      </c>
      <c r="R28" s="10">
        <f t="shared" si="6"/>
        <v>5979.7717140985978</v>
      </c>
    </row>
    <row r="29" spans="1:18" x14ac:dyDescent="0.25">
      <c r="C29" s="1">
        <f t="shared" si="7"/>
        <v>12</v>
      </c>
      <c r="D29" s="10">
        <f t="shared" si="8"/>
        <v>-0.12</v>
      </c>
      <c r="E29" s="10">
        <f t="shared" si="0"/>
        <v>0.41547362518303466</v>
      </c>
      <c r="F29" s="10">
        <f t="shared" si="9"/>
        <v>0.19025123940800162</v>
      </c>
      <c r="G29" s="8">
        <f t="shared" si="1"/>
        <v>0.17679690712629037</v>
      </c>
      <c r="H29">
        <f t="shared" si="10"/>
        <v>2.1024830179538729</v>
      </c>
      <c r="I29">
        <f t="shared" si="11"/>
        <v>0.22530248933661698</v>
      </c>
      <c r="J29">
        <f t="shared" si="12"/>
        <v>9.5576823005030509E-3</v>
      </c>
      <c r="K29" s="2">
        <f t="shared" si="13"/>
        <v>2.2115884974847465E-4</v>
      </c>
      <c r="L29" s="9">
        <f t="shared" si="2"/>
        <v>-1.3684732886648532</v>
      </c>
      <c r="M29" s="2">
        <f t="shared" si="3"/>
        <v>-1.616099134563654E-4</v>
      </c>
      <c r="N29" s="2">
        <f t="shared" si="14"/>
        <v>0.25360062824673085</v>
      </c>
      <c r="O29">
        <f t="shared" si="15"/>
        <v>0.18287769855926819</v>
      </c>
      <c r="P29" s="10">
        <f t="shared" si="4"/>
        <v>1775.3909474225707</v>
      </c>
      <c r="Q29" s="10">
        <f t="shared" si="5"/>
        <v>4204.9660359077461</v>
      </c>
      <c r="R29" s="10">
        <f t="shared" si="6"/>
        <v>5980.3569833303172</v>
      </c>
    </row>
    <row r="30" spans="1:18" x14ac:dyDescent="0.25">
      <c r="C30" s="1">
        <f t="shared" si="7"/>
        <v>12.5</v>
      </c>
      <c r="D30" s="10">
        <f t="shared" si="8"/>
        <v>-0.125</v>
      </c>
      <c r="E30" s="10">
        <f t="shared" si="0"/>
        <v>0.41569478403278315</v>
      </c>
      <c r="F30" s="10">
        <f t="shared" si="9"/>
        <v>0.19008962949454525</v>
      </c>
      <c r="G30" s="8">
        <f t="shared" si="1"/>
        <v>0.17665733830052918</v>
      </c>
      <c r="H30">
        <f t="shared" si="10"/>
        <v>2.1042705015713561</v>
      </c>
      <c r="I30">
        <f t="shared" si="11"/>
        <v>0.22568574637020217</v>
      </c>
      <c r="J30">
        <f t="shared" si="12"/>
        <v>9.5815045899593169E-3</v>
      </c>
      <c r="K30" s="2">
        <f t="shared" si="13"/>
        <v>2.0924770502034166E-4</v>
      </c>
      <c r="L30" s="9">
        <f t="shared" si="2"/>
        <v>-1.374519293559656</v>
      </c>
      <c r="M30" s="2">
        <f t="shared" si="3"/>
        <v>-1.5223337060511042E-4</v>
      </c>
      <c r="N30" s="2">
        <f t="shared" si="14"/>
        <v>0.25360062824673085</v>
      </c>
      <c r="O30">
        <f t="shared" si="15"/>
        <v>0.18287769855926819</v>
      </c>
      <c r="P30" s="10">
        <f t="shared" si="4"/>
        <v>1772.3759981893695</v>
      </c>
      <c r="Q30" s="10">
        <f t="shared" si="5"/>
        <v>4208.5410031427118</v>
      </c>
      <c r="R30" s="10">
        <f t="shared" si="6"/>
        <v>5980.9170013320818</v>
      </c>
    </row>
    <row r="31" spans="1:18" x14ac:dyDescent="0.25">
      <c r="C31" s="1">
        <f t="shared" si="7"/>
        <v>13</v>
      </c>
      <c r="D31" s="10">
        <f t="shared" si="8"/>
        <v>-0.13</v>
      </c>
      <c r="E31" s="10">
        <f t="shared" si="0"/>
        <v>0.41590403173780349</v>
      </c>
      <c r="F31" s="10">
        <f t="shared" si="9"/>
        <v>0.18993739612394014</v>
      </c>
      <c r="G31" s="8">
        <f t="shared" si="1"/>
        <v>0.17652585186334638</v>
      </c>
      <c r="H31">
        <f t="shared" si="10"/>
        <v>2.1059570582877076</v>
      </c>
      <c r="I31">
        <f t="shared" si="11"/>
        <v>0.22604766214841054</v>
      </c>
      <c r="J31">
        <f t="shared" si="12"/>
        <v>9.6040180416492368E-3</v>
      </c>
      <c r="K31" s="2">
        <f t="shared" si="13"/>
        <v>1.9799097917538172E-4</v>
      </c>
      <c r="L31" s="9">
        <f t="shared" si="2"/>
        <v>-1.3802333480544005</v>
      </c>
      <c r="M31" s="2">
        <f t="shared" si="3"/>
        <v>-1.434474681070944E-4</v>
      </c>
      <c r="N31" s="2">
        <f t="shared" si="14"/>
        <v>0.25360062824673085</v>
      </c>
      <c r="O31">
        <f t="shared" si="15"/>
        <v>0.18287769855926819</v>
      </c>
      <c r="P31" s="10">
        <f t="shared" si="4"/>
        <v>1769.5383185931023</v>
      </c>
      <c r="Q31" s="10">
        <f t="shared" si="5"/>
        <v>4211.9141165754154</v>
      </c>
      <c r="R31" s="10">
        <f t="shared" si="6"/>
        <v>5981.4524351685177</v>
      </c>
    </row>
    <row r="32" spans="1:18" x14ac:dyDescent="0.25">
      <c r="C32" s="1">
        <f t="shared" si="7"/>
        <v>13.5</v>
      </c>
      <c r="D32" s="10">
        <f t="shared" si="8"/>
        <v>-0.13500000000000001</v>
      </c>
      <c r="E32" s="10">
        <f t="shared" si="0"/>
        <v>0.41610202271697888</v>
      </c>
      <c r="F32" s="10">
        <f t="shared" si="9"/>
        <v>0.18979394865583304</v>
      </c>
      <c r="G32" s="8">
        <f t="shared" si="1"/>
        <v>0.17640194033327211</v>
      </c>
      <c r="H32">
        <f t="shared" si="10"/>
        <v>2.1075487539665905</v>
      </c>
      <c r="I32">
        <f t="shared" si="11"/>
        <v>0.22638948778522566</v>
      </c>
      <c r="J32">
        <f t="shared" si="12"/>
        <v>9.6252975175973067E-3</v>
      </c>
      <c r="K32" s="2">
        <f t="shared" si="13"/>
        <v>1.8735124120134675E-4</v>
      </c>
      <c r="L32" s="9">
        <f t="shared" si="2"/>
        <v>-1.3856344144644357</v>
      </c>
      <c r="M32" s="2">
        <f t="shared" si="3"/>
        <v>-1.3520971999945617E-4</v>
      </c>
      <c r="N32" s="2">
        <f t="shared" si="14"/>
        <v>0.25360062824673085</v>
      </c>
      <c r="O32">
        <f t="shared" si="15"/>
        <v>0.18287769855926819</v>
      </c>
      <c r="P32" s="10">
        <f t="shared" si="4"/>
        <v>1766.866491519595</v>
      </c>
      <c r="Q32" s="10">
        <f t="shared" si="5"/>
        <v>4215.0975079331811</v>
      </c>
      <c r="R32" s="10">
        <f t="shared" si="6"/>
        <v>5981.9639994527761</v>
      </c>
    </row>
    <row r="33" spans="3:18" x14ac:dyDescent="0.25">
      <c r="C33" s="1">
        <f t="shared" si="7"/>
        <v>14</v>
      </c>
      <c r="D33" s="10">
        <f t="shared" si="8"/>
        <v>-0.14000000000000001</v>
      </c>
      <c r="E33" s="10">
        <f t="shared" si="0"/>
        <v>0.41628937395818022</v>
      </c>
      <c r="F33" s="10">
        <f t="shared" si="9"/>
        <v>0.1896587389358336</v>
      </c>
      <c r="G33" s="8">
        <f t="shared" si="1"/>
        <v>0.1762851325619029</v>
      </c>
      <c r="H33">
        <f t="shared" si="10"/>
        <v>2.109051247753631</v>
      </c>
      <c r="I33">
        <f t="shared" si="11"/>
        <v>0.22671239376407479</v>
      </c>
      <c r="J33">
        <f t="shared" si="12"/>
        <v>9.6454132490922436E-3</v>
      </c>
      <c r="K33" s="2">
        <f t="shared" si="13"/>
        <v>1.772933754538783E-4</v>
      </c>
      <c r="L33" s="9">
        <f t="shared" si="2"/>
        <v>-1.3907402847466726</v>
      </c>
      <c r="M33" s="2">
        <f t="shared" si="3"/>
        <v>-1.2748129711808326E-4</v>
      </c>
      <c r="N33" s="2">
        <f t="shared" si="14"/>
        <v>0.25360062824673085</v>
      </c>
      <c r="O33">
        <f t="shared" si="15"/>
        <v>0.18287769855926819</v>
      </c>
      <c r="P33" s="10">
        <f t="shared" si="4"/>
        <v>1764.3499473445399</v>
      </c>
      <c r="Q33" s="10">
        <f t="shared" si="5"/>
        <v>4218.1024955072617</v>
      </c>
      <c r="R33" s="10">
        <f t="shared" si="6"/>
        <v>5982.4524428518016</v>
      </c>
    </row>
    <row r="34" spans="3:18" x14ac:dyDescent="0.25">
      <c r="C34" s="1">
        <f t="shared" si="7"/>
        <v>14.5</v>
      </c>
      <c r="D34" s="10">
        <f t="shared" si="8"/>
        <v>-0.14499999999999999</v>
      </c>
      <c r="E34" s="10">
        <f t="shared" si="0"/>
        <v>0.41646666733363408</v>
      </c>
      <c r="F34" s="10">
        <f t="shared" si="9"/>
        <v>0.18953125763871551</v>
      </c>
      <c r="G34" s="8">
        <f t="shared" si="1"/>
        <v>0.17617499062375205</v>
      </c>
      <c r="H34">
        <f t="shared" si="10"/>
        <v>2.1104698242570628</v>
      </c>
      <c r="I34">
        <f t="shared" si="11"/>
        <v>0.22701747599896213</v>
      </c>
      <c r="J34">
        <f t="shared" si="12"/>
        <v>9.6644311656496028E-3</v>
      </c>
      <c r="K34" s="2">
        <f t="shared" si="13"/>
        <v>1.6778441717519871E-4</v>
      </c>
      <c r="L34" s="9">
        <f t="shared" si="2"/>
        <v>-1.3955676633740581</v>
      </c>
      <c r="M34" s="2">
        <f t="shared" si="3"/>
        <v>-1.2022664438179015E-4</v>
      </c>
      <c r="N34" s="2">
        <f t="shared" si="14"/>
        <v>0.25360062824673085</v>
      </c>
      <c r="O34">
        <f t="shared" si="15"/>
        <v>0.18287769855926819</v>
      </c>
      <c r="P34" s="10">
        <f t="shared" si="4"/>
        <v>1761.9788883646502</v>
      </c>
      <c r="Q34" s="10">
        <f t="shared" si="5"/>
        <v>4220.9396485141251</v>
      </c>
      <c r="R34" s="10">
        <f t="shared" si="6"/>
        <v>5982.9185368787748</v>
      </c>
    </row>
    <row r="35" spans="3:18" x14ac:dyDescent="0.25">
      <c r="C35" s="1">
        <f t="shared" si="7"/>
        <v>15</v>
      </c>
      <c r="D35" s="10">
        <f t="shared" si="8"/>
        <v>-0.15</v>
      </c>
      <c r="E35" s="10">
        <f t="shared" si="0"/>
        <v>0.41663445175080926</v>
      </c>
      <c r="F35" s="10">
        <f t="shared" si="9"/>
        <v>0.18941103099433371</v>
      </c>
      <c r="G35" s="8">
        <f t="shared" si="1"/>
        <v>0.17607110702998824</v>
      </c>
      <c r="H35">
        <f t="shared" si="10"/>
        <v>2.1118094226094262</v>
      </c>
      <c r="I35">
        <f t="shared" si="11"/>
        <v>0.22730576133649122</v>
      </c>
      <c r="J35">
        <f t="shared" si="12"/>
        <v>9.682413195330938E-3</v>
      </c>
      <c r="K35" s="2">
        <f t="shared" si="13"/>
        <v>1.587934023345311E-4</v>
      </c>
      <c r="L35" s="9">
        <f t="shared" si="2"/>
        <v>-1.4001322430190579</v>
      </c>
      <c r="M35" s="2">
        <f t="shared" si="3"/>
        <v>-1.1341314588408466E-4</v>
      </c>
      <c r="N35" s="2">
        <f t="shared" si="14"/>
        <v>0.25360062824673085</v>
      </c>
      <c r="O35">
        <f t="shared" si="15"/>
        <v>0.18287769855926819</v>
      </c>
      <c r="P35" s="10">
        <f t="shared" si="4"/>
        <v>1759.7442213876025</v>
      </c>
      <c r="Q35" s="10">
        <f t="shared" si="5"/>
        <v>4223.6188452188526</v>
      </c>
      <c r="R35" s="10">
        <f t="shared" si="6"/>
        <v>5983.3630666064546</v>
      </c>
    </row>
    <row r="36" spans="3:18" x14ac:dyDescent="0.25">
      <c r="C36" s="1">
        <f t="shared" si="7"/>
        <v>15.5</v>
      </c>
      <c r="D36" s="10">
        <f t="shared" si="8"/>
        <v>-0.155</v>
      </c>
      <c r="E36" s="10">
        <f t="shared" si="0"/>
        <v>0.41679324515314381</v>
      </c>
      <c r="F36" s="10">
        <f t="shared" si="9"/>
        <v>0.18929761784844962</v>
      </c>
      <c r="G36" s="8">
        <f t="shared" si="1"/>
        <v>0.17597310222575477</v>
      </c>
      <c r="H36">
        <f t="shared" si="10"/>
        <v>2.1130746627791019</v>
      </c>
      <c r="I36">
        <f t="shared" si="11"/>
        <v>0.22757821256264094</v>
      </c>
      <c r="J36">
        <f t="shared" si="12"/>
        <v>9.6994175395630471E-3</v>
      </c>
      <c r="K36" s="2">
        <f t="shared" si="13"/>
        <v>1.5029123021847654E-4</v>
      </c>
      <c r="L36" s="9">
        <f t="shared" si="2"/>
        <v>-1.4044487738333662</v>
      </c>
      <c r="M36" s="2">
        <f t="shared" si="3"/>
        <v>-1.0701083088154567E-4</v>
      </c>
      <c r="N36" s="2">
        <f t="shared" si="14"/>
        <v>0.25360062824673085</v>
      </c>
      <c r="O36">
        <f t="shared" si="15"/>
        <v>0.18287769855926819</v>
      </c>
      <c r="P36" s="10">
        <f t="shared" si="4"/>
        <v>1757.6374974379407</v>
      </c>
      <c r="Q36" s="10">
        <f t="shared" si="5"/>
        <v>4226.1493255582036</v>
      </c>
      <c r="R36" s="10">
        <f t="shared" si="6"/>
        <v>5983.7868229961441</v>
      </c>
    </row>
    <row r="37" spans="3:18" x14ac:dyDescent="0.25">
      <c r="C37" s="1">
        <f t="shared" si="7"/>
        <v>16</v>
      </c>
      <c r="D37" s="10">
        <f t="shared" si="8"/>
        <v>-0.16</v>
      </c>
      <c r="E37" s="10">
        <f t="shared" si="0"/>
        <v>0.41694353638336229</v>
      </c>
      <c r="F37" s="10">
        <f t="shared" si="9"/>
        <v>0.18919060701756807</v>
      </c>
      <c r="G37" s="8">
        <f t="shared" si="1"/>
        <v>0.17588062233657439</v>
      </c>
      <c r="H37">
        <f t="shared" si="10"/>
        <v>2.1142698694489432</v>
      </c>
      <c r="I37">
        <f t="shared" si="11"/>
        <v>0.22783573296940118</v>
      </c>
      <c r="J37">
        <f t="shared" si="12"/>
        <v>9.7154989251773318E-3</v>
      </c>
      <c r="K37" s="2">
        <f t="shared" si="13"/>
        <v>1.422505374113342E-4</v>
      </c>
      <c r="L37" s="9">
        <f t="shared" si="2"/>
        <v>-1.4085311270051015</v>
      </c>
      <c r="M37" s="2">
        <f t="shared" si="3"/>
        <v>-1.0099211489475233E-4</v>
      </c>
      <c r="N37" s="2">
        <f t="shared" si="14"/>
        <v>0.25360062824673085</v>
      </c>
      <c r="O37">
        <f t="shared" si="15"/>
        <v>0.18287769855926819</v>
      </c>
      <c r="P37" s="10">
        <f t="shared" si="4"/>
        <v>1755.6508576893018</v>
      </c>
      <c r="Q37" s="10">
        <f t="shared" si="5"/>
        <v>4228.5397388978863</v>
      </c>
      <c r="R37" s="10">
        <f t="shared" si="6"/>
        <v>5984.1905965871883</v>
      </c>
    </row>
    <row r="38" spans="3:18" x14ac:dyDescent="0.25">
      <c r="C38" s="1">
        <f t="shared" si="7"/>
        <v>16.5</v>
      </c>
      <c r="D38" s="10">
        <f t="shared" si="8"/>
        <v>-0.16500000000000001</v>
      </c>
      <c r="E38" s="10">
        <f t="shared" si="0"/>
        <v>0.41708578692077364</v>
      </c>
      <c r="F38" s="10">
        <f t="shared" si="9"/>
        <v>0.18908961490267331</v>
      </c>
      <c r="G38" s="8">
        <f t="shared" si="1"/>
        <v>0.17579333713420803</v>
      </c>
      <c r="H38">
        <f t="shared" si="10"/>
        <v>2.1153990937359768</v>
      </c>
      <c r="I38">
        <f t="shared" si="11"/>
        <v>0.22807917052900062</v>
      </c>
      <c r="J38">
        <f t="shared" si="12"/>
        <v>9.7307088360326487E-3</v>
      </c>
      <c r="K38" s="2">
        <f t="shared" si="13"/>
        <v>1.3464558198367574E-4</v>
      </c>
      <c r="L38" s="9">
        <f t="shared" si="2"/>
        <v>-1.4123923531855063</v>
      </c>
      <c r="M38" s="2">
        <f t="shared" si="3"/>
        <v>-9.5331571060970713E-5</v>
      </c>
      <c r="N38" s="2">
        <f t="shared" si="14"/>
        <v>0.25360062824673085</v>
      </c>
      <c r="O38">
        <f t="shared" si="15"/>
        <v>0.18287769855926819</v>
      </c>
      <c r="P38" s="10">
        <f t="shared" si="4"/>
        <v>1753.7769848612254</v>
      </c>
      <c r="Q38" s="10">
        <f t="shared" si="5"/>
        <v>4230.7981874719535</v>
      </c>
      <c r="R38" s="10">
        <f t="shared" si="6"/>
        <v>5984.5751723331787</v>
      </c>
    </row>
    <row r="39" spans="3:18" x14ac:dyDescent="0.25">
      <c r="C39" s="1">
        <f t="shared" si="7"/>
        <v>17</v>
      </c>
      <c r="D39" s="10">
        <f t="shared" si="8"/>
        <v>-0.17</v>
      </c>
      <c r="E39" s="10">
        <f t="shared" si="0"/>
        <v>0.41722043250275731</v>
      </c>
      <c r="F39" s="10">
        <f t="shared" si="9"/>
        <v>0.18899428333161233</v>
      </c>
      <c r="G39" s="8">
        <f t="shared" si="1"/>
        <v>0.17571093819642861</v>
      </c>
      <c r="H39">
        <f t="shared" si="10"/>
        <v>2.1164661329896086</v>
      </c>
      <c r="I39">
        <f t="shared" si="11"/>
        <v>0.22830932171722668</v>
      </c>
      <c r="J39">
        <f t="shared" si="12"/>
        <v>9.7450957262830411E-3</v>
      </c>
      <c r="K39" s="2">
        <f t="shared" si="13"/>
        <v>1.2745213685847953E-4</v>
      </c>
      <c r="L39" s="9">
        <f t="shared" si="2"/>
        <v>-1.4160447363016959</v>
      </c>
      <c r="M39" s="2">
        <f t="shared" si="3"/>
        <v>-9.0005727637777942E-5</v>
      </c>
      <c r="N39" s="2">
        <f t="shared" si="14"/>
        <v>0.25360062824673085</v>
      </c>
      <c r="O39">
        <f t="shared" si="15"/>
        <v>0.18287769855926819</v>
      </c>
      <c r="P39" s="10">
        <f t="shared" si="4"/>
        <v>1752.0090594260596</v>
      </c>
      <c r="Q39" s="10">
        <f t="shared" si="5"/>
        <v>4232.9322659792169</v>
      </c>
      <c r="R39" s="10">
        <f t="shared" si="6"/>
        <v>5984.9413254052761</v>
      </c>
    </row>
    <row r="40" spans="3:18" x14ac:dyDescent="0.25">
      <c r="C40" s="1">
        <f t="shared" si="7"/>
        <v>17.5</v>
      </c>
      <c r="D40" s="10">
        <f t="shared" si="8"/>
        <v>-0.17500000000000002</v>
      </c>
      <c r="E40" s="10">
        <f t="shared" si="0"/>
        <v>0.41734788463961581</v>
      </c>
      <c r="F40" s="10">
        <f t="shared" si="9"/>
        <v>0.18890427760397455</v>
      </c>
      <c r="G40" s="8">
        <f t="shared" si="1"/>
        <v>0.17563313723862192</v>
      </c>
      <c r="H40">
        <f t="shared" si="10"/>
        <v>2.1174745488748212</v>
      </c>
      <c r="I40">
        <f t="shared" si="11"/>
        <v>0.22852693502205035</v>
      </c>
      <c r="J40">
        <f t="shared" si="12"/>
        <v>9.7587052170954314E-3</v>
      </c>
      <c r="K40" s="2">
        <f t="shared" si="13"/>
        <v>1.2064739145228442E-4</v>
      </c>
      <c r="L40" s="9">
        <f t="shared" si="2"/>
        <v>-1.4194998432078081</v>
      </c>
      <c r="M40" s="2">
        <f t="shared" si="3"/>
        <v>-8.4992888184928249E-5</v>
      </c>
      <c r="N40" s="2">
        <f t="shared" si="14"/>
        <v>0.25360062824673085</v>
      </c>
      <c r="O40">
        <f t="shared" si="15"/>
        <v>0.18287769855926819</v>
      </c>
      <c r="P40" s="10">
        <f t="shared" si="4"/>
        <v>1750.3407200617485</v>
      </c>
      <c r="Q40" s="10">
        <f t="shared" si="5"/>
        <v>4234.9490977496425</v>
      </c>
      <c r="R40" s="10">
        <f t="shared" si="6"/>
        <v>5985.289817811391</v>
      </c>
    </row>
    <row r="41" spans="3:18" x14ac:dyDescent="0.25">
      <c r="C41" s="1">
        <f t="shared" si="7"/>
        <v>18</v>
      </c>
      <c r="D41" s="10">
        <f t="shared" si="8"/>
        <v>-0.18</v>
      </c>
      <c r="E41" s="10">
        <f t="shared" si="0"/>
        <v>0.4174685320310681</v>
      </c>
      <c r="F41" s="10">
        <f t="shared" si="9"/>
        <v>0.18881928471578963</v>
      </c>
      <c r="G41" s="8">
        <f t="shared" si="1"/>
        <v>0.1755596645980505</v>
      </c>
      <c r="H41">
        <f t="shared" si="10"/>
        <v>2.1184276839205229</v>
      </c>
      <c r="I41">
        <f t="shared" si="11"/>
        <v>0.2287327141692595</v>
      </c>
      <c r="J41">
        <f t="shared" si="12"/>
        <v>9.7715802784035157E-3</v>
      </c>
      <c r="K41" s="2">
        <f t="shared" si="13"/>
        <v>1.1420986079824225E-4</v>
      </c>
      <c r="L41" s="9">
        <f t="shared" si="2"/>
        <v>-1.4227685695721966</v>
      </c>
      <c r="M41" s="2">
        <f t="shared" si="3"/>
        <v>-8.0272971473205448E-5</v>
      </c>
      <c r="N41" s="2">
        <f t="shared" si="14"/>
        <v>0.25360062824673085</v>
      </c>
      <c r="O41">
        <f t="shared" si="15"/>
        <v>0.18287769855926819</v>
      </c>
      <c r="P41" s="10">
        <f t="shared" si="4"/>
        <v>1748.7660278625681</v>
      </c>
      <c r="Q41" s="10">
        <f t="shared" si="5"/>
        <v>4236.8553678410462</v>
      </c>
      <c r="R41" s="10">
        <f t="shared" si="6"/>
        <v>5985.6213957036143</v>
      </c>
    </row>
    <row r="42" spans="3:18" x14ac:dyDescent="0.25">
      <c r="C42" s="1">
        <f t="shared" si="7"/>
        <v>18.5</v>
      </c>
      <c r="D42" s="10">
        <f t="shared" si="8"/>
        <v>-0.185</v>
      </c>
      <c r="E42" s="10">
        <f t="shared" si="0"/>
        <v>0.41758274189186634</v>
      </c>
      <c r="F42" s="10">
        <f t="shared" si="9"/>
        <v>0.18873901174431643</v>
      </c>
      <c r="G42" s="8">
        <f t="shared" si="1"/>
        <v>0.17549026785410476</v>
      </c>
      <c r="H42">
        <f t="shared" si="10"/>
        <v>2.1193286766907393</v>
      </c>
      <c r="I42">
        <f t="shared" si="11"/>
        <v>0.22892732109295208</v>
      </c>
      <c r="J42">
        <f t="shared" si="12"/>
        <v>9.7837613970966457E-3</v>
      </c>
      <c r="K42" s="2">
        <f t="shared" si="13"/>
        <v>1.0811930145167726E-4</v>
      </c>
      <c r="L42" s="9">
        <f t="shared" si="2"/>
        <v>-1.4258611823514098</v>
      </c>
      <c r="M42" s="2">
        <f t="shared" si="3"/>
        <v>-7.5827368603566335E-5</v>
      </c>
      <c r="N42" s="2">
        <f t="shared" si="14"/>
        <v>0.25360062824673085</v>
      </c>
      <c r="O42">
        <f t="shared" si="15"/>
        <v>0.18287769855926819</v>
      </c>
      <c r="P42" s="10">
        <f t="shared" si="4"/>
        <v>1747.2794338845506</v>
      </c>
      <c r="Q42" s="10">
        <f t="shared" si="5"/>
        <v>4238.657353381479</v>
      </c>
      <c r="R42" s="10">
        <f t="shared" si="6"/>
        <v>5985.9367872660296</v>
      </c>
    </row>
    <row r="43" spans="3:18" x14ac:dyDescent="0.25">
      <c r="C43" s="1">
        <f t="shared" si="7"/>
        <v>19</v>
      </c>
      <c r="D43" s="10">
        <f t="shared" si="8"/>
        <v>-0.19</v>
      </c>
      <c r="E43" s="10">
        <f t="shared" si="0"/>
        <v>0.417690861193318</v>
      </c>
      <c r="F43" s="10">
        <f t="shared" si="9"/>
        <v>0.18866318437571286</v>
      </c>
      <c r="G43" s="8">
        <f t="shared" si="1"/>
        <v>0.17542471056998443</v>
      </c>
      <c r="H43">
        <f t="shared" si="10"/>
        <v>2.1201804757170901</v>
      </c>
      <c r="I43">
        <f t="shared" si="11"/>
        <v>0.22911137867543049</v>
      </c>
      <c r="J43">
        <f t="shared" si="12"/>
        <v>9.7952867328814034E-3</v>
      </c>
      <c r="K43" s="2">
        <f t="shared" si="13"/>
        <v>1.023566335592984E-4</v>
      </c>
      <c r="L43" s="9">
        <f t="shared" si="2"/>
        <v>-1.4287873591613636</v>
      </c>
      <c r="M43" s="2">
        <f t="shared" si="3"/>
        <v>-7.1638815183371524E-5</v>
      </c>
      <c r="N43" s="2">
        <f t="shared" si="14"/>
        <v>0.25360062824673085</v>
      </c>
      <c r="O43">
        <f t="shared" si="15"/>
        <v>0.18287769855926819</v>
      </c>
      <c r="P43" s="10">
        <f t="shared" si="4"/>
        <v>1745.8757496573662</v>
      </c>
      <c r="Q43" s="10">
        <f t="shared" si="5"/>
        <v>4240.3609514341797</v>
      </c>
      <c r="R43" s="10">
        <f t="shared" si="6"/>
        <v>5986.2367010915459</v>
      </c>
    </row>
    <row r="44" spans="3:18" x14ac:dyDescent="0.25">
      <c r="C44" s="1">
        <f t="shared" si="7"/>
        <v>19.5</v>
      </c>
      <c r="D44" s="10">
        <f t="shared" si="8"/>
        <v>-0.19500000000000001</v>
      </c>
      <c r="E44" s="10">
        <f t="shared" si="0"/>
        <v>0.41779321782687728</v>
      </c>
      <c r="F44" s="10">
        <f t="shared" si="9"/>
        <v>0.18859154556052948</v>
      </c>
      <c r="G44" s="8">
        <f t="shared" si="1"/>
        <v>0.17536277114306989</v>
      </c>
      <c r="H44">
        <f t="shared" si="10"/>
        <v>2.1209858523144551</v>
      </c>
      <c r="I44">
        <f t="shared" si="11"/>
        <v>0.22928547327818938</v>
      </c>
      <c r="J44">
        <f t="shared" si="12"/>
        <v>9.8061922629145131E-3</v>
      </c>
      <c r="K44" s="2">
        <f t="shared" si="13"/>
        <v>9.6903868542743549E-5</v>
      </c>
      <c r="L44" s="9">
        <f t="shared" si="2"/>
        <v>-1.4315562248213181</v>
      </c>
      <c r="M44" s="2">
        <f t="shared" si="3"/>
        <v>-6.7691276711704954E-5</v>
      </c>
      <c r="N44" s="2">
        <f t="shared" si="14"/>
        <v>0.25360062824673085</v>
      </c>
      <c r="O44">
        <f t="shared" si="15"/>
        <v>0.18287769855926819</v>
      </c>
      <c r="P44" s="10">
        <f t="shared" si="4"/>
        <v>1744.5501203413994</v>
      </c>
      <c r="Q44" s="10">
        <f t="shared" si="5"/>
        <v>4241.9717046289106</v>
      </c>
      <c r="R44" s="10">
        <f t="shared" si="6"/>
        <v>5986.5218249703103</v>
      </c>
    </row>
    <row r="45" spans="3:18" x14ac:dyDescent="0.25">
      <c r="C45" s="1">
        <f t="shared" si="7"/>
        <v>20</v>
      </c>
      <c r="D45" s="10">
        <f t="shared" si="8"/>
        <v>-0.2</v>
      </c>
      <c r="E45" s="10">
        <f t="shared" si="0"/>
        <v>0.41789012169542</v>
      </c>
      <c r="F45" s="10">
        <f t="shared" si="9"/>
        <v>0.18852385428381777</v>
      </c>
      <c r="G45" s="8">
        <f t="shared" si="1"/>
        <v>0.17530424175280163</v>
      </c>
      <c r="H45">
        <f t="shared" si="10"/>
        <v>2.1217474123874549</v>
      </c>
      <c r="I45">
        <f t="shared" si="11"/>
        <v>0.22945015708322428</v>
      </c>
      <c r="J45">
        <f t="shared" si="12"/>
        <v>9.8165119161851642E-3</v>
      </c>
      <c r="K45" s="2">
        <f t="shared" si="13"/>
        <v>9.1744041907418014E-5</v>
      </c>
      <c r="L45" s="9">
        <f t="shared" si="2"/>
        <v>-1.4341763853161322</v>
      </c>
      <c r="M45" s="2">
        <f t="shared" si="3"/>
        <v>-6.3969845582972061E-5</v>
      </c>
      <c r="N45" s="2">
        <f t="shared" si="14"/>
        <v>0.25360062824673085</v>
      </c>
      <c r="O45">
        <f t="shared" si="15"/>
        <v>0.18287769855926819</v>
      </c>
      <c r="P45" s="10">
        <f t="shared" si="4"/>
        <v>1743.2980002489828</v>
      </c>
      <c r="Q45" s="10">
        <f t="shared" si="5"/>
        <v>4243.4948247749089</v>
      </c>
      <c r="R45" s="10">
        <f t="shared" si="6"/>
        <v>5986.792825023892</v>
      </c>
    </row>
    <row r="46" spans="3:18" x14ac:dyDescent="0.25">
      <c r="C46" s="1">
        <f t="shared" si="7"/>
        <v>20.5</v>
      </c>
      <c r="D46" s="10">
        <f t="shared" si="8"/>
        <v>-0.20500000000000002</v>
      </c>
      <c r="E46" s="10">
        <f t="shared" si="0"/>
        <v>0.41798186573732743</v>
      </c>
      <c r="F46" s="10">
        <f t="shared" si="9"/>
        <v>0.1884598844382348</v>
      </c>
      <c r="G46" s="8">
        <f t="shared" si="1"/>
        <v>0.17524892739622774</v>
      </c>
      <c r="H46">
        <f t="shared" si="10"/>
        <v>2.1224676073230566</v>
      </c>
      <c r="I46">
        <f t="shared" si="11"/>
        <v>0.2296059502617564</v>
      </c>
      <c r="J46">
        <f t="shared" si="12"/>
        <v>9.8262776985203974E-3</v>
      </c>
      <c r="K46" s="2">
        <f t="shared" si="13"/>
        <v>8.6861150739801427E-5</v>
      </c>
      <c r="L46" s="9">
        <f t="shared" si="2"/>
        <v>-1.4366559593960342</v>
      </c>
      <c r="M46" s="2">
        <f t="shared" si="3"/>
        <v>-6.0460648335261556E-5</v>
      </c>
      <c r="N46" s="2">
        <f t="shared" si="14"/>
        <v>0.25360062824673085</v>
      </c>
      <c r="O46">
        <f t="shared" si="15"/>
        <v>0.18287769855926819</v>
      </c>
      <c r="P46" s="10">
        <f t="shared" si="4"/>
        <v>1742.1151304832918</v>
      </c>
      <c r="Q46" s="10">
        <f t="shared" si="5"/>
        <v>4244.9352146461133</v>
      </c>
      <c r="R46" s="10">
        <f t="shared" si="6"/>
        <v>5987.0503451294053</v>
      </c>
    </row>
    <row r="47" spans="3:18" x14ac:dyDescent="0.25">
      <c r="C47" s="1">
        <f t="shared" si="7"/>
        <v>21</v>
      </c>
      <c r="D47" s="10">
        <f t="shared" si="8"/>
        <v>-0.21</v>
      </c>
      <c r="E47" s="10">
        <f t="shared" si="0"/>
        <v>0.41806872688806723</v>
      </c>
      <c r="F47" s="10">
        <f t="shared" si="9"/>
        <v>0.18839942378989954</v>
      </c>
      <c r="G47" s="8">
        <f t="shared" si="1"/>
        <v>0.17519664500253879</v>
      </c>
      <c r="H47">
        <f t="shared" si="10"/>
        <v>2.1231487440538803</v>
      </c>
      <c r="I47">
        <f t="shared" si="11"/>
        <v>0.22975334298560493</v>
      </c>
      <c r="J47">
        <f t="shared" si="12"/>
        <v>9.8355198089955815E-3</v>
      </c>
      <c r="K47" s="2">
        <f t="shared" si="13"/>
        <v>8.2240095502209357E-5</v>
      </c>
      <c r="L47" s="9">
        <f t="shared" si="2"/>
        <v>-1.4390026080103384</v>
      </c>
      <c r="M47" s="2">
        <f t="shared" si="3"/>
        <v>-5.7150761954434558E-5</v>
      </c>
      <c r="N47" s="2">
        <f t="shared" si="14"/>
        <v>0.25360062824673085</v>
      </c>
      <c r="O47">
        <f t="shared" si="15"/>
        <v>0.18287769855926819</v>
      </c>
      <c r="P47" s="10">
        <f t="shared" si="4"/>
        <v>1740.9975184781606</v>
      </c>
      <c r="Q47" s="10">
        <f t="shared" si="5"/>
        <v>4246.2974881077607</v>
      </c>
      <c r="R47" s="10">
        <f t="shared" si="6"/>
        <v>5987.2950065859213</v>
      </c>
    </row>
    <row r="48" spans="3:18" x14ac:dyDescent="0.25">
      <c r="C48" s="1">
        <f t="shared" si="7"/>
        <v>21.5</v>
      </c>
      <c r="D48" s="10">
        <f t="shared" si="8"/>
        <v>-0.215</v>
      </c>
      <c r="E48" s="10">
        <f t="shared" si="0"/>
        <v>0.41815096698356946</v>
      </c>
      <c r="F48" s="10">
        <f t="shared" si="9"/>
        <v>0.18834227302794512</v>
      </c>
      <c r="G48" s="8">
        <f t="shared" si="1"/>
        <v>0.17514722261891402</v>
      </c>
      <c r="H48">
        <f t="shared" si="10"/>
        <v>2.1237929943674958</v>
      </c>
      <c r="I48">
        <f t="shared" si="11"/>
        <v>0.22989279729482434</v>
      </c>
      <c r="J48">
        <f t="shared" si="12"/>
        <v>9.8442667484524987E-3</v>
      </c>
      <c r="K48" s="2">
        <f t="shared" si="13"/>
        <v>7.7866625773750746E-5</v>
      </c>
      <c r="L48" s="9">
        <f t="shared" si="2"/>
        <v>-1.4412235617514737</v>
      </c>
      <c r="M48" s="2">
        <f t="shared" si="3"/>
        <v>-5.4028138201627705E-5</v>
      </c>
      <c r="N48" s="2">
        <f t="shared" si="14"/>
        <v>0.25360062824673085</v>
      </c>
      <c r="O48">
        <f t="shared" si="15"/>
        <v>0.18287769855926819</v>
      </c>
      <c r="P48" s="10">
        <f t="shared" si="4"/>
        <v>1739.9414192477848</v>
      </c>
      <c r="Q48" s="10">
        <f t="shared" si="5"/>
        <v>4247.5859887349916</v>
      </c>
      <c r="R48" s="10">
        <f t="shared" si="6"/>
        <v>5987.5274079827759</v>
      </c>
    </row>
    <row r="49" spans="3:18" x14ac:dyDescent="0.25">
      <c r="C49" s="1">
        <f t="shared" si="7"/>
        <v>22</v>
      </c>
      <c r="D49" s="10">
        <f t="shared" si="8"/>
        <v>-0.22</v>
      </c>
      <c r="E49" s="10">
        <f t="shared" si="0"/>
        <v>0.41822883360934321</v>
      </c>
      <c r="F49" s="10">
        <f t="shared" si="9"/>
        <v>0.18828824488974349</v>
      </c>
      <c r="G49" s="8">
        <f t="shared" si="1"/>
        <v>0.17510049866087357</v>
      </c>
      <c r="H49">
        <f t="shared" si="10"/>
        <v>2.1244024035288511</v>
      </c>
      <c r="I49">
        <f t="shared" si="11"/>
        <v>0.23002474883380017</v>
      </c>
      <c r="J49">
        <f t="shared" si="12"/>
        <v>9.8525454207572527E-3</v>
      </c>
      <c r="K49" s="2">
        <f t="shared" si="13"/>
        <v>7.3727289621373752E-5</v>
      </c>
      <c r="L49" s="9">
        <f t="shared" si="2"/>
        <v>-1.4433256464682267</v>
      </c>
      <c r="M49" s="2">
        <f t="shared" si="3"/>
        <v>-5.1081535065757442E-5</v>
      </c>
      <c r="N49" s="2">
        <f t="shared" si="14"/>
        <v>0.25360062824673085</v>
      </c>
      <c r="O49">
        <f t="shared" si="15"/>
        <v>0.18287769855926819</v>
      </c>
      <c r="P49" s="10">
        <f t="shared" si="4"/>
        <v>1738.9433181775239</v>
      </c>
      <c r="Q49" s="10">
        <f t="shared" si="5"/>
        <v>4248.8048070577015</v>
      </c>
      <c r="R49" s="10">
        <f t="shared" si="6"/>
        <v>5987.7481252352254</v>
      </c>
    </row>
    <row r="50" spans="3:18" x14ac:dyDescent="0.25">
      <c r="C50" s="1">
        <f t="shared" si="7"/>
        <v>22.5</v>
      </c>
      <c r="D50" s="10">
        <f t="shared" si="8"/>
        <v>-0.22500000000000001</v>
      </c>
      <c r="E50" s="10">
        <f t="shared" si="0"/>
        <v>0.41830256089896456</v>
      </c>
      <c r="F50" s="10">
        <f t="shared" si="9"/>
        <v>0.18823716335467774</v>
      </c>
      <c r="G50" s="8">
        <f t="shared" si="1"/>
        <v>0.17505632122109227</v>
      </c>
      <c r="H50">
        <f t="shared" si="10"/>
        <v>2.1249788982758799</v>
      </c>
      <c r="I50">
        <f t="shared" si="11"/>
        <v>0.23014960846675703</v>
      </c>
      <c r="J50">
        <f t="shared" si="12"/>
        <v>9.8603812273686687E-3</v>
      </c>
      <c r="K50" s="2">
        <f t="shared" si="13"/>
        <v>6.9809386315665758E-5</v>
      </c>
      <c r="L50" s="9">
        <f t="shared" si="2"/>
        <v>-1.445315307191573</v>
      </c>
      <c r="M50" s="2">
        <f t="shared" si="3"/>
        <v>-4.8300454557084893E-5</v>
      </c>
      <c r="N50" s="2">
        <f t="shared" si="14"/>
        <v>0.25360062824673085</v>
      </c>
      <c r="O50">
        <f t="shared" si="15"/>
        <v>0.18287769855926819</v>
      </c>
      <c r="P50" s="10">
        <f t="shared" si="4"/>
        <v>1737.9999152063567</v>
      </c>
      <c r="Q50" s="10">
        <f t="shared" si="5"/>
        <v>4249.9577965517601</v>
      </c>
      <c r="R50" s="10">
        <f t="shared" si="6"/>
        <v>5987.9577117581166</v>
      </c>
    </row>
    <row r="51" spans="3:18" x14ac:dyDescent="0.25">
      <c r="C51" s="1">
        <f t="shared" si="7"/>
        <v>23</v>
      </c>
      <c r="D51" s="10">
        <f t="shared" si="8"/>
        <v>-0.23</v>
      </c>
      <c r="E51" s="10">
        <f t="shared" si="0"/>
        <v>0.41837237028528024</v>
      </c>
      <c r="F51" s="10">
        <f t="shared" si="9"/>
        <v>0.18818886290012066</v>
      </c>
      <c r="G51" s="8">
        <f t="shared" si="1"/>
        <v>0.17501454743129111</v>
      </c>
      <c r="H51">
        <f t="shared" si="10"/>
        <v>2.125524294242088</v>
      </c>
      <c r="I51">
        <f t="shared" si="11"/>
        <v>0.23026776378253444</v>
      </c>
      <c r="J51">
        <f t="shared" si="12"/>
        <v>9.8677981557333903E-3</v>
      </c>
      <c r="K51" s="2">
        <f t="shared" si="13"/>
        <v>6.6100922133304971E-5</v>
      </c>
      <c r="L51" s="9">
        <f t="shared" si="2"/>
        <v>-1.4471986305028768</v>
      </c>
      <c r="M51" s="2">
        <f t="shared" si="3"/>
        <v>-4.5675086156166435E-5</v>
      </c>
      <c r="N51" s="2">
        <f t="shared" si="14"/>
        <v>0.25360062824673085</v>
      </c>
      <c r="O51">
        <f t="shared" si="15"/>
        <v>0.18287769855926819</v>
      </c>
      <c r="P51" s="10">
        <f t="shared" si="4"/>
        <v>1737.1081102683618</v>
      </c>
      <c r="Q51" s="10">
        <f t="shared" si="5"/>
        <v>4251.0485884841764</v>
      </c>
      <c r="R51" s="10">
        <f t="shared" si="6"/>
        <v>5988.1566987525384</v>
      </c>
    </row>
    <row r="52" spans="3:18" x14ac:dyDescent="0.25">
      <c r="C52" s="1">
        <f t="shared" si="7"/>
        <v>23.5</v>
      </c>
      <c r="D52" s="10">
        <f t="shared" si="8"/>
        <v>-0.23500000000000001</v>
      </c>
      <c r="E52" s="10">
        <f t="shared" si="0"/>
        <v>0.41843847120741356</v>
      </c>
      <c r="F52" s="10">
        <f t="shared" si="9"/>
        <v>0.1881431878139645</v>
      </c>
      <c r="G52" s="8">
        <f t="shared" si="1"/>
        <v>0.17497504287240476</v>
      </c>
      <c r="H52">
        <f t="shared" si="10"/>
        <v>2.1260403028544355</v>
      </c>
      <c r="I52">
        <f t="shared" si="11"/>
        <v>0.23037958049752189</v>
      </c>
      <c r="J52">
        <f t="shared" si="12"/>
        <v>9.8748188619756129E-3</v>
      </c>
      <c r="K52" s="2">
        <f t="shared" si="13"/>
        <v>6.2590569012193654E-5</v>
      </c>
      <c r="L52" s="9">
        <f t="shared" si="2"/>
        <v>-1.4489813654621457</v>
      </c>
      <c r="M52" s="2">
        <f t="shared" si="3"/>
        <v>-4.3196255317079725E-5</v>
      </c>
      <c r="N52" s="2">
        <f t="shared" si="14"/>
        <v>0.25360062824673085</v>
      </c>
      <c r="O52">
        <f t="shared" si="15"/>
        <v>0.18287769855926819</v>
      </c>
      <c r="P52" s="10">
        <f t="shared" si="4"/>
        <v>1736.2649898752752</v>
      </c>
      <c r="Q52" s="10">
        <f t="shared" si="5"/>
        <v>4252.0806057088712</v>
      </c>
      <c r="R52" s="10">
        <f t="shared" si="6"/>
        <v>5988.3455955841464</v>
      </c>
    </row>
    <row r="53" spans="3:18" x14ac:dyDescent="0.25">
      <c r="C53" s="1">
        <f t="shared" si="7"/>
        <v>24</v>
      </c>
      <c r="D53" s="10">
        <f t="shared" si="8"/>
        <v>-0.24</v>
      </c>
      <c r="E53" s="10">
        <f t="shared" si="0"/>
        <v>0.41850106177642576</v>
      </c>
      <c r="F53" s="10">
        <f t="shared" si="9"/>
        <v>0.18809999155864743</v>
      </c>
      <c r="G53" s="8">
        <f t="shared" si="1"/>
        <v>0.17493768102873003</v>
      </c>
      <c r="H53">
        <f t="shared" si="10"/>
        <v>2.1265285377500116</v>
      </c>
      <c r="I53">
        <f t="shared" si="11"/>
        <v>0.23048540376479115</v>
      </c>
      <c r="J53">
        <f t="shared" si="12"/>
        <v>9.8814647483067911E-3</v>
      </c>
      <c r="K53" s="2">
        <f t="shared" si="13"/>
        <v>5.9267625846604576E-5</v>
      </c>
      <c r="L53" s="9">
        <f t="shared" si="2"/>
        <v>-1.4506689432033109</v>
      </c>
      <c r="M53" s="2">
        <f t="shared" si="3"/>
        <v>-4.0855376496674773E-5</v>
      </c>
      <c r="N53" s="2">
        <f t="shared" si="14"/>
        <v>0.25360062824673085</v>
      </c>
      <c r="O53">
        <f t="shared" si="15"/>
        <v>0.18287769855926819</v>
      </c>
      <c r="P53" s="10">
        <f t="shared" si="4"/>
        <v>1735.4678147350164</v>
      </c>
      <c r="Q53" s="10">
        <f t="shared" si="5"/>
        <v>4253.0570755000235</v>
      </c>
      <c r="R53" s="10">
        <f t="shared" si="6"/>
        <v>5988.5248902350395</v>
      </c>
    </row>
    <row r="54" spans="3:18" x14ac:dyDescent="0.25">
      <c r="C54" s="1">
        <f t="shared" si="7"/>
        <v>24.5</v>
      </c>
      <c r="D54" s="10">
        <f t="shared" si="8"/>
        <v>-0.245</v>
      </c>
      <c r="E54" s="10">
        <f t="shared" si="0"/>
        <v>0.41856032940227239</v>
      </c>
      <c r="F54" s="10">
        <f t="shared" si="9"/>
        <v>0.18805913618215075</v>
      </c>
      <c r="G54" s="8">
        <f t="shared" si="1"/>
        <v>0.17490234278220815</v>
      </c>
      <c r="H54">
        <f t="shared" si="10"/>
        <v>2.1269905207507018</v>
      </c>
      <c r="I54">
        <f t="shared" si="11"/>
        <v>0.23058555939670447</v>
      </c>
      <c r="J54">
        <f t="shared" si="12"/>
        <v>9.8877560355423947E-3</v>
      </c>
      <c r="K54" s="2">
        <f t="shared" si="13"/>
        <v>5.6121982228802755E-5</v>
      </c>
      <c r="L54" s="9">
        <f t="shared" si="2"/>
        <v>-1.4522664952939421</v>
      </c>
      <c r="M54" s="2">
        <f t="shared" si="3"/>
        <v>-3.864441024472133E-5</v>
      </c>
      <c r="N54" s="2">
        <f t="shared" si="14"/>
        <v>0.25360062824673085</v>
      </c>
      <c r="O54">
        <f t="shared" si="15"/>
        <v>0.18287769855926819</v>
      </c>
      <c r="P54" s="10">
        <f t="shared" si="4"/>
        <v>1734.7140083123381</v>
      </c>
      <c r="Q54" s="10">
        <f t="shared" si="5"/>
        <v>4253.9810415014035</v>
      </c>
      <c r="R54" s="10">
        <f t="shared" si="6"/>
        <v>5988.6950498137412</v>
      </c>
    </row>
    <row r="55" spans="3:18" x14ac:dyDescent="0.25">
      <c r="C55" s="1">
        <f t="shared" si="7"/>
        <v>25</v>
      </c>
      <c r="D55" s="10">
        <f t="shared" si="8"/>
        <v>-0.25</v>
      </c>
      <c r="E55" s="10">
        <f t="shared" si="0"/>
        <v>0.41861645138450121</v>
      </c>
      <c r="F55" s="10">
        <f t="shared" si="9"/>
        <v>0.18802049177190602</v>
      </c>
      <c r="G55" s="8">
        <f t="shared" si="1"/>
        <v>0.17486891594338769</v>
      </c>
      <c r="H55">
        <f t="shared" si="10"/>
        <v>2.1274276874312905</v>
      </c>
      <c r="I55">
        <f t="shared" si="11"/>
        <v>0.23068035500760697</v>
      </c>
      <c r="J55">
        <f t="shared" si="12"/>
        <v>9.8937118310789898E-3</v>
      </c>
      <c r="K55" s="2">
        <f t="shared" si="13"/>
        <v>5.3144084460505191E-5</v>
      </c>
      <c r="L55" s="9">
        <f t="shared" si="2"/>
        <v>-1.4537788709483115</v>
      </c>
      <c r="M55" s="2">
        <f t="shared" si="3"/>
        <v>-3.6555823944420712E-5</v>
      </c>
      <c r="N55" s="2">
        <f t="shared" si="14"/>
        <v>0.25360062824673085</v>
      </c>
      <c r="O55">
        <f t="shared" si="15"/>
        <v>0.18287769855926819</v>
      </c>
      <c r="P55" s="10">
        <f t="shared" si="4"/>
        <v>1734.0011462476273</v>
      </c>
      <c r="Q55" s="10">
        <f t="shared" si="5"/>
        <v>4254.8553748625809</v>
      </c>
      <c r="R55" s="10">
        <f t="shared" si="6"/>
        <v>5988.8565211102086</v>
      </c>
    </row>
    <row r="56" spans="3:18" x14ac:dyDescent="0.25">
      <c r="C56" s="1">
        <f t="shared" si="7"/>
        <v>25.5</v>
      </c>
      <c r="D56" s="10">
        <f t="shared" si="8"/>
        <v>-0.255</v>
      </c>
      <c r="E56" s="10">
        <f t="shared" si="0"/>
        <v>0.41866959546896171</v>
      </c>
      <c r="F56" s="10">
        <f t="shared" si="9"/>
        <v>0.18798393594796159</v>
      </c>
      <c r="G56" s="8">
        <f t="shared" si="1"/>
        <v>0.17483729481596211</v>
      </c>
      <c r="H56">
        <f t="shared" si="10"/>
        <v>2.1278413923130617</v>
      </c>
      <c r="I56">
        <f t="shared" si="11"/>
        <v>0.23077008108260899</v>
      </c>
      <c r="J56">
        <f t="shared" si="12"/>
        <v>9.8993501926543936E-3</v>
      </c>
      <c r="K56" s="2">
        <f t="shared" si="13"/>
        <v>5.0324903672803283E-5</v>
      </c>
      <c r="L56" s="9">
        <f t="shared" si="2"/>
        <v>-1.4552106531750848</v>
      </c>
      <c r="M56" s="2">
        <f t="shared" si="3"/>
        <v>-3.4582555840283836E-5</v>
      </c>
      <c r="N56" s="2">
        <f t="shared" si="14"/>
        <v>0.25360062824673085</v>
      </c>
      <c r="O56">
        <f t="shared" si="15"/>
        <v>0.18287769855926819</v>
      </c>
      <c r="P56" s="10">
        <f t="shared" si="4"/>
        <v>1733.3269465586031</v>
      </c>
      <c r="Q56" s="10">
        <f t="shared" si="5"/>
        <v>4255.6827846261231</v>
      </c>
      <c r="R56" s="10">
        <f t="shared" si="6"/>
        <v>5989.0097311847258</v>
      </c>
    </row>
    <row r="57" spans="3:18" x14ac:dyDescent="0.25">
      <c r="C57" s="1">
        <f t="shared" si="7"/>
        <v>26</v>
      </c>
      <c r="D57" s="10">
        <f t="shared" si="8"/>
        <v>-0.26</v>
      </c>
      <c r="E57" s="10">
        <f t="shared" si="0"/>
        <v>0.4187199203726345</v>
      </c>
      <c r="F57" s="10">
        <f t="shared" si="9"/>
        <v>0.18794935339212129</v>
      </c>
      <c r="G57" s="8">
        <f t="shared" si="1"/>
        <v>0.17480737979208402</v>
      </c>
      <c r="H57">
        <f t="shared" si="10"/>
        <v>2.1282329137119964</v>
      </c>
      <c r="I57">
        <f t="shared" si="11"/>
        <v>0.23085501197793343</v>
      </c>
      <c r="J57">
        <f t="shared" si="12"/>
        <v>9.9046881881865827E-3</v>
      </c>
      <c r="K57" s="2">
        <f t="shared" si="13"/>
        <v>4.7655905906708769E-5</v>
      </c>
      <c r="L57" s="9">
        <f t="shared" si="2"/>
        <v>-1.4565661739340756</v>
      </c>
      <c r="M57" s="2">
        <f t="shared" si="3"/>
        <v>-3.271798203166682E-5</v>
      </c>
      <c r="N57" s="2">
        <f t="shared" si="14"/>
        <v>0.25360062824673085</v>
      </c>
      <c r="O57">
        <f t="shared" si="15"/>
        <v>0.18287769855926819</v>
      </c>
      <c r="P57" s="10">
        <f t="shared" si="4"/>
        <v>1732.6892605573339</v>
      </c>
      <c r="Q57" s="10">
        <f t="shared" si="5"/>
        <v>4256.4658274239928</v>
      </c>
      <c r="R57" s="10">
        <f t="shared" si="6"/>
        <v>5989.1550879813267</v>
      </c>
    </row>
    <row r="58" spans="3:18" x14ac:dyDescent="0.25">
      <c r="C58" s="1">
        <f t="shared" si="7"/>
        <v>26.5</v>
      </c>
      <c r="D58" s="10">
        <f t="shared" si="8"/>
        <v>-0.26500000000000001</v>
      </c>
      <c r="E58" s="10">
        <f t="shared" si="0"/>
        <v>0.41876757627854122</v>
      </c>
      <c r="F58" s="10">
        <f t="shared" si="9"/>
        <v>0.18791663541008963</v>
      </c>
      <c r="G58" s="8">
        <f t="shared" si="1"/>
        <v>0.17477907697593048</v>
      </c>
      <c r="H58">
        <f t="shared" si="10"/>
        <v>2.1286034582679805</v>
      </c>
      <c r="I58">
        <f t="shared" si="11"/>
        <v>0.23093540685781888</v>
      </c>
      <c r="J58">
        <f t="shared" si="12"/>
        <v>9.9097419519623871E-3</v>
      </c>
      <c r="K58" s="2">
        <f t="shared" si="13"/>
        <v>4.5129024018806564E-5</v>
      </c>
      <c r="L58" s="9">
        <f t="shared" si="2"/>
        <v>-1.4578495283703812</v>
      </c>
      <c r="M58" s="2">
        <f t="shared" si="3"/>
        <v>-3.0955886146393214E-5</v>
      </c>
      <c r="N58" s="2">
        <f t="shared" si="14"/>
        <v>0.25360062824673085</v>
      </c>
      <c r="O58">
        <f t="shared" si="15"/>
        <v>0.18287769855926819</v>
      </c>
      <c r="P58" s="10">
        <f t="shared" si="4"/>
        <v>1732.0860644217714</v>
      </c>
      <c r="Q58" s="10">
        <f t="shared" si="5"/>
        <v>4257.2069165359617</v>
      </c>
      <c r="R58" s="10">
        <f t="shared" si="6"/>
        <v>5989.2929809577327</v>
      </c>
    </row>
    <row r="59" spans="3:18" x14ac:dyDescent="0.25">
      <c r="C59" s="1">
        <f t="shared" si="7"/>
        <v>27</v>
      </c>
      <c r="D59" s="10">
        <f t="shared" si="8"/>
        <v>-0.27</v>
      </c>
      <c r="E59" s="10">
        <f t="shared" si="0"/>
        <v>0.41881270530256004</v>
      </c>
      <c r="F59" s="10">
        <f t="shared" si="9"/>
        <v>0.18788567952394322</v>
      </c>
      <c r="G59" s="8">
        <f t="shared" si="1"/>
        <v>0.17475229783323598</v>
      </c>
      <c r="H59">
        <f t="shared" si="10"/>
        <v>2.1289541651790764</v>
      </c>
      <c r="I59">
        <f t="shared" si="11"/>
        <v>0.23101151057254524</v>
      </c>
      <c r="J59">
        <f t="shared" si="12"/>
        <v>9.914526737425081E-3</v>
      </c>
      <c r="K59" s="2">
        <f t="shared" si="13"/>
        <v>4.2736631287459623E-5</v>
      </c>
      <c r="L59" s="9">
        <f t="shared" si="2"/>
        <v>-1.4590645881886513</v>
      </c>
      <c r="M59" s="2">
        <f t="shared" si="3"/>
        <v>-2.9290431440403066E-5</v>
      </c>
      <c r="N59" s="2">
        <f t="shared" si="14"/>
        <v>0.25360062824673085</v>
      </c>
      <c r="O59">
        <f t="shared" si="15"/>
        <v>0.18287769855926819</v>
      </c>
      <c r="P59" s="10">
        <f t="shared" si="4"/>
        <v>1731.5154513670295</v>
      </c>
      <c r="Q59" s="10">
        <f t="shared" si="5"/>
        <v>4257.9083303581529</v>
      </c>
      <c r="R59" s="10">
        <f t="shared" si="6"/>
        <v>5989.4237817251824</v>
      </c>
    </row>
    <row r="60" spans="3:18" x14ac:dyDescent="0.25">
      <c r="C60" s="1">
        <f t="shared" si="7"/>
        <v>27.5</v>
      </c>
      <c r="D60" s="10">
        <f t="shared" si="8"/>
        <v>-0.27500000000000002</v>
      </c>
      <c r="E60" s="10">
        <f t="shared" si="0"/>
        <v>0.41885544193384749</v>
      </c>
      <c r="F60" s="10">
        <f t="shared" si="9"/>
        <v>0.18785638909250282</v>
      </c>
      <c r="G60" s="8">
        <f t="shared" si="1"/>
        <v>0.17472695886472614</v>
      </c>
      <c r="H60">
        <f t="shared" si="10"/>
        <v>2.1292861101627745</v>
      </c>
      <c r="I60">
        <f t="shared" si="11"/>
        <v>0.23108355448175938</v>
      </c>
      <c r="J60">
        <f t="shared" si="12"/>
        <v>9.9190569667900203E-3</v>
      </c>
      <c r="K60" s="2">
        <f t="shared" si="13"/>
        <v>4.0471516604989946E-5</v>
      </c>
      <c r="L60" s="9">
        <f t="shared" si="2"/>
        <v>-1.4602150142252648</v>
      </c>
      <c r="M60" s="2">
        <f t="shared" si="3"/>
        <v>-2.771613509703748E-5</v>
      </c>
      <c r="N60" s="2">
        <f t="shared" si="14"/>
        <v>0.25360062824673085</v>
      </c>
      <c r="O60">
        <f t="shared" si="15"/>
        <v>0.18287769855926819</v>
      </c>
      <c r="P60" s="10">
        <f t="shared" si="4"/>
        <v>1730.9756243669608</v>
      </c>
      <c r="Q60" s="10">
        <f t="shared" si="5"/>
        <v>4258.5722203255491</v>
      </c>
      <c r="R60" s="10">
        <f t="shared" si="6"/>
        <v>5989.5478446925099</v>
      </c>
    </row>
    <row r="61" spans="3:18" x14ac:dyDescent="0.25">
      <c r="C61" s="1">
        <f t="shared" si="7"/>
        <v>28</v>
      </c>
      <c r="D61" s="10">
        <f t="shared" si="8"/>
        <v>-0.28000000000000003</v>
      </c>
      <c r="E61" s="10">
        <f t="shared" si="0"/>
        <v>0.41889591345045246</v>
      </c>
      <c r="F61" s="10">
        <f t="shared" si="9"/>
        <v>0.1878286729574058</v>
      </c>
      <c r="G61" s="8">
        <f t="shared" si="1"/>
        <v>0.17470298130157488</v>
      </c>
      <c r="H61">
        <f t="shared" si="10"/>
        <v>2.1296003091642381</v>
      </c>
      <c r="I61">
        <f t="shared" si="11"/>
        <v>0.23115175722693265</v>
      </c>
      <c r="J61">
        <f t="shared" si="12"/>
        <v>9.9233462776995365E-3</v>
      </c>
      <c r="K61" s="2">
        <f t="shared" si="13"/>
        <v>3.8326861150231838E-5</v>
      </c>
      <c r="L61" s="9">
        <f t="shared" si="2"/>
        <v>-1.4613042682716642</v>
      </c>
      <c r="M61" s="2">
        <f t="shared" si="3"/>
        <v>-2.6227844523825527E-5</v>
      </c>
      <c r="N61" s="2">
        <f t="shared" si="14"/>
        <v>0.25360062824673085</v>
      </c>
      <c r="O61">
        <f t="shared" si="15"/>
        <v>0.18287769855926819</v>
      </c>
      <c r="P61" s="10">
        <f t="shared" si="4"/>
        <v>1730.4648893813121</v>
      </c>
      <c r="Q61" s="10">
        <f t="shared" si="5"/>
        <v>4259.2006183284766</v>
      </c>
      <c r="R61" s="10">
        <f t="shared" si="6"/>
        <v>5989.6655077097885</v>
      </c>
    </row>
    <row r="62" spans="3:18" x14ac:dyDescent="0.25">
      <c r="C62" s="1">
        <f t="shared" si="7"/>
        <v>28.5</v>
      </c>
      <c r="D62" s="10">
        <f t="shared" si="8"/>
        <v>-0.28500000000000003</v>
      </c>
      <c r="E62" s="10">
        <f t="shared" si="0"/>
        <v>0.4189342403116027</v>
      </c>
      <c r="F62" s="10">
        <f t="shared" si="9"/>
        <v>0.18780244511288197</v>
      </c>
      <c r="G62" s="8">
        <f t="shared" si="1"/>
        <v>0.17468029082118294</v>
      </c>
      <c r="H62">
        <f t="shared" si="10"/>
        <v>2.1298977218298356</v>
      </c>
      <c r="I62">
        <f t="shared" si="11"/>
        <v>0.23121632545646911</v>
      </c>
      <c r="J62">
        <f t="shared" si="12"/>
        <v>9.9274075671118966E-3</v>
      </c>
      <c r="K62" s="2">
        <f t="shared" si="13"/>
        <v>3.6296216444051815E-5</v>
      </c>
      <c r="L62" s="9">
        <f t="shared" si="2"/>
        <v>-1.4623356241979959</v>
      </c>
      <c r="M62" s="2">
        <f t="shared" si="3"/>
        <v>-2.4820715466025888E-5</v>
      </c>
      <c r="N62" s="2">
        <f t="shared" si="14"/>
        <v>0.25360062824673085</v>
      </c>
      <c r="O62">
        <f t="shared" si="15"/>
        <v>0.18287769855926819</v>
      </c>
      <c r="P62" s="10">
        <f t="shared" si="4"/>
        <v>1729.9816490479939</v>
      </c>
      <c r="Q62" s="10">
        <f t="shared" si="5"/>
        <v>4259.7954436596719</v>
      </c>
      <c r="R62" s="10">
        <f t="shared" si="6"/>
        <v>5989.7770927076654</v>
      </c>
    </row>
    <row r="63" spans="3:18" x14ac:dyDescent="0.25">
      <c r="C63" s="1">
        <f t="shared" si="7"/>
        <v>29</v>
      </c>
      <c r="D63" s="10">
        <f t="shared" si="8"/>
        <v>-0.28999999999999998</v>
      </c>
      <c r="E63" s="10">
        <f t="shared" si="0"/>
        <v>0.41897053652804678</v>
      </c>
      <c r="F63" s="10">
        <f t="shared" si="9"/>
        <v>0.18777762439741594</v>
      </c>
      <c r="G63" s="8">
        <f t="shared" si="1"/>
        <v>0.174658817281726</v>
      </c>
      <c r="H63">
        <f t="shared" si="10"/>
        <v>2.1301792547627123</v>
      </c>
      <c r="I63">
        <f t="shared" si="11"/>
        <v>0.23127745450669848</v>
      </c>
      <c r="J63">
        <f t="shared" si="12"/>
        <v>9.9312530326043959E-3</v>
      </c>
      <c r="K63" s="2">
        <f t="shared" si="13"/>
        <v>3.4373483697802167E-5</v>
      </c>
      <c r="L63" s="9">
        <f t="shared" si="2"/>
        <v>-1.4633121784224801</v>
      </c>
      <c r="M63" s="2">
        <f t="shared" si="3"/>
        <v>-2.3490191774976145E-5</v>
      </c>
      <c r="N63" s="2">
        <f t="shared" si="14"/>
        <v>0.25360062824673085</v>
      </c>
      <c r="O63">
        <f t="shared" si="15"/>
        <v>0.18287769855926819</v>
      </c>
      <c r="P63" s="10">
        <f t="shared" si="4"/>
        <v>1729.524396803731</v>
      </c>
      <c r="Q63" s="10">
        <f t="shared" si="5"/>
        <v>4260.3585095254239</v>
      </c>
      <c r="R63" s="10">
        <f t="shared" si="6"/>
        <v>5989.882906329155</v>
      </c>
    </row>
    <row r="64" spans="3:18" x14ac:dyDescent="0.25">
      <c r="C64" s="1">
        <f t="shared" si="7"/>
        <v>29.5</v>
      </c>
      <c r="D64" s="10">
        <f t="shared" si="8"/>
        <v>-0.29499999999999998</v>
      </c>
      <c r="E64" s="10">
        <f t="shared" si="0"/>
        <v>0.41900491001174456</v>
      </c>
      <c r="F64" s="10">
        <f t="shared" si="9"/>
        <v>0.18775413420564097</v>
      </c>
      <c r="G64" s="8">
        <f t="shared" si="1"/>
        <v>0.17463849447405952</v>
      </c>
      <c r="H64">
        <f t="shared" si="10"/>
        <v>2.1304457645757777</v>
      </c>
      <c r="I64">
        <f t="shared" si="11"/>
        <v>0.23133532904173648</v>
      </c>
      <c r="J64">
        <f t="shared" si="12"/>
        <v>9.9348942112572978E-3</v>
      </c>
      <c r="K64" s="2">
        <f t="shared" si="13"/>
        <v>3.2552894371351213E-5</v>
      </c>
      <c r="L64" s="9">
        <f t="shared" si="2"/>
        <v>-1.4642368597685582</v>
      </c>
      <c r="M64" s="2">
        <f t="shared" si="3"/>
        <v>-2.2231986685881288E-5</v>
      </c>
      <c r="N64" s="2">
        <f t="shared" si="14"/>
        <v>0.25360062824673085</v>
      </c>
      <c r="O64">
        <f t="shared" si="15"/>
        <v>0.18287769855926819</v>
      </c>
      <c r="P64" s="10">
        <f t="shared" si="4"/>
        <v>1729.0917113997477</v>
      </c>
      <c r="Q64" s="10">
        <f t="shared" si="5"/>
        <v>4260.891529151555</v>
      </c>
      <c r="R64" s="10">
        <f t="shared" si="6"/>
        <v>5989.9832405513025</v>
      </c>
    </row>
    <row r="65" spans="3:18" x14ac:dyDescent="0.25">
      <c r="C65" s="1">
        <f t="shared" si="7"/>
        <v>30</v>
      </c>
      <c r="D65" s="10">
        <f t="shared" si="8"/>
        <v>-0.3</v>
      </c>
      <c r="E65" s="10">
        <f t="shared" si="0"/>
        <v>0.41903746290611593</v>
      </c>
      <c r="F65" s="10">
        <f t="shared" si="9"/>
        <v>0.18773190221895508</v>
      </c>
      <c r="G65" s="8">
        <f t="shared" si="1"/>
        <v>0.1746192598896919</v>
      </c>
      <c r="H65">
        <f t="shared" si="10"/>
        <v>2.1306980607561994</v>
      </c>
      <c r="I65">
        <f t="shared" si="11"/>
        <v>0.23139012365495557</v>
      </c>
      <c r="J65">
        <f t="shared" si="12"/>
        <v>9.938342016272696E-3</v>
      </c>
      <c r="K65" s="2">
        <f t="shared" si="13"/>
        <v>3.082899186365208E-5</v>
      </c>
      <c r="L65" s="9">
        <f t="shared" si="2"/>
        <v>-1.4651124387487546</v>
      </c>
      <c r="M65" s="2">
        <f t="shared" si="3"/>
        <v>-2.1042065474497554E-5</v>
      </c>
      <c r="N65" s="2">
        <f t="shared" si="14"/>
        <v>0.25360062824673085</v>
      </c>
      <c r="O65">
        <f t="shared" si="15"/>
        <v>0.18287769855926819</v>
      </c>
      <c r="P65" s="10">
        <f t="shared" si="4"/>
        <v>1728.6822517821554</v>
      </c>
      <c r="Q65" s="10">
        <f t="shared" si="5"/>
        <v>4261.3961215123991</v>
      </c>
      <c r="R65" s="10">
        <f t="shared" si="6"/>
        <v>5990.0783732945547</v>
      </c>
    </row>
    <row r="66" spans="3:18" x14ac:dyDescent="0.25">
      <c r="C66" s="1">
        <f t="shared" si="7"/>
        <v>30.5</v>
      </c>
      <c r="D66" s="10">
        <f t="shared" si="8"/>
        <v>-0.30499999999999999</v>
      </c>
      <c r="E66" s="10">
        <f t="shared" si="0"/>
        <v>0.41906829189797956</v>
      </c>
      <c r="F66" s="10">
        <f t="shared" si="9"/>
        <v>0.1877108601534806</v>
      </c>
      <c r="G66" s="8">
        <f t="shared" si="1"/>
        <v>0.17460105450364688</v>
      </c>
      <c r="H66">
        <f t="shared" si="10"/>
        <v>2.1309369083543834</v>
      </c>
      <c r="I66">
        <f t="shared" si="11"/>
        <v>0.23144200343460436</v>
      </c>
      <c r="J66">
        <f t="shared" si="12"/>
        <v>9.9416067714715711E-3</v>
      </c>
      <c r="K66" s="2">
        <f t="shared" si="13"/>
        <v>2.9196614264214577E-5</v>
      </c>
      <c r="L66" s="9">
        <f t="shared" si="2"/>
        <v>-1.4659415363114028</v>
      </c>
      <c r="M66" s="2">
        <f t="shared" si="3"/>
        <v>-1.9916629375056117E-5</v>
      </c>
      <c r="N66" s="2">
        <f t="shared" si="14"/>
        <v>0.25360062824673085</v>
      </c>
      <c r="O66">
        <f t="shared" si="15"/>
        <v>0.18287769855926819</v>
      </c>
      <c r="P66" s="10">
        <f t="shared" si="4"/>
        <v>1728.294752309396</v>
      </c>
      <c r="Q66" s="10">
        <f t="shared" si="5"/>
        <v>4261.8738167087668</v>
      </c>
      <c r="R66" s="10">
        <f t="shared" si="6"/>
        <v>5990.168569018163</v>
      </c>
    </row>
    <row r="67" spans="3:18" x14ac:dyDescent="0.25">
      <c r="C67" s="1">
        <f t="shared" si="7"/>
        <v>31</v>
      </c>
      <c r="D67" s="10">
        <f t="shared" si="8"/>
        <v>-0.31</v>
      </c>
      <c r="E67" s="10">
        <f t="shared" si="0"/>
        <v>0.41909748851224377</v>
      </c>
      <c r="F67" s="10">
        <f t="shared" si="9"/>
        <v>0.18769094352410554</v>
      </c>
      <c r="G67" s="8">
        <f t="shared" si="1"/>
        <v>0.17458382257113686</v>
      </c>
      <c r="H67">
        <f t="shared" si="10"/>
        <v>2.1311630305093927</v>
      </c>
      <c r="I67">
        <f t="shared" si="11"/>
        <v>0.23149112449592144</v>
      </c>
      <c r="J67">
        <f t="shared" si="12"/>
        <v>9.9446982438019197E-3</v>
      </c>
      <c r="K67" s="2">
        <f t="shared" si="13"/>
        <v>2.7650878099040252E-5</v>
      </c>
      <c r="L67" s="9">
        <f t="shared" si="2"/>
        <v>-1.4667266320837742</v>
      </c>
      <c r="M67" s="2">
        <f t="shared" si="3"/>
        <v>-1.8852100653382651E-5</v>
      </c>
      <c r="N67" s="2">
        <f t="shared" si="14"/>
        <v>0.25360062824673085</v>
      </c>
      <c r="O67">
        <f t="shared" si="15"/>
        <v>0.18287769855926819</v>
      </c>
      <c r="P67" s="10">
        <f t="shared" si="4"/>
        <v>1727.9280182815282</v>
      </c>
      <c r="Q67" s="10">
        <f t="shared" si="5"/>
        <v>4262.3260610187863</v>
      </c>
      <c r="R67" s="10">
        <f t="shared" si="6"/>
        <v>5990.2540793003145</v>
      </c>
    </row>
    <row r="68" spans="3:18" x14ac:dyDescent="0.25">
      <c r="C68" s="1">
        <f t="shared" si="7"/>
        <v>31.5</v>
      </c>
      <c r="D68" s="10">
        <f t="shared" si="8"/>
        <v>-0.315</v>
      </c>
      <c r="E68" s="10">
        <f t="shared" si="0"/>
        <v>0.41912513939034279</v>
      </c>
      <c r="F68" s="10">
        <f t="shared" si="9"/>
        <v>0.18767209142345215</v>
      </c>
      <c r="G68" s="8">
        <f t="shared" si="1"/>
        <v>0.17456751143705998</v>
      </c>
      <c r="H68">
        <f t="shared" si="10"/>
        <v>2.1313771108217883</v>
      </c>
      <c r="I68">
        <f t="shared" si="11"/>
        <v>0.23153763448190789</v>
      </c>
      <c r="J68">
        <f t="shared" si="12"/>
        <v>9.9476256739812249E-3</v>
      </c>
      <c r="K68" s="2">
        <f t="shared" si="13"/>
        <v>2.6187163009387671E-5</v>
      </c>
      <c r="L68" s="9">
        <f t="shared" si="2"/>
        <v>-1.467470072142802</v>
      </c>
      <c r="M68" s="2">
        <f t="shared" si="3"/>
        <v>-1.7845108739525525E-5</v>
      </c>
      <c r="N68" s="2">
        <f t="shared" si="14"/>
        <v>0.25360062824673085</v>
      </c>
      <c r="O68">
        <f t="shared" si="15"/>
        <v>0.18287769855926819</v>
      </c>
      <c r="P68" s="10">
        <f t="shared" si="4"/>
        <v>1727.5809217583389</v>
      </c>
      <c r="Q68" s="10">
        <f t="shared" si="5"/>
        <v>4262.7542216435759</v>
      </c>
      <c r="R68" s="10">
        <f t="shared" si="6"/>
        <v>5990.335143401915</v>
      </c>
    </row>
    <row r="69" spans="3:18" x14ac:dyDescent="0.25">
      <c r="C69" s="1">
        <f t="shared" si="7"/>
        <v>32</v>
      </c>
      <c r="D69" s="10">
        <f t="shared" si="8"/>
        <v>-0.32</v>
      </c>
      <c r="E69" s="10">
        <f t="shared" si="0"/>
        <v>0.41915132655335219</v>
      </c>
      <c r="F69" s="10">
        <f t="shared" si="9"/>
        <v>0.18765424631471261</v>
      </c>
      <c r="G69" s="8">
        <f t="shared" si="1"/>
        <v>0.17455207135741363</v>
      </c>
      <c r="H69">
        <f t="shared" si="10"/>
        <v>2.1315797955840816</v>
      </c>
      <c r="I69">
        <f t="shared" si="11"/>
        <v>0.23158167303477445</v>
      </c>
      <c r="J69">
        <f t="shared" si="12"/>
        <v>9.9503978053884015E-3</v>
      </c>
      <c r="K69" s="2">
        <f t="shared" si="13"/>
        <v>2.4801097305799345E-5</v>
      </c>
      <c r="L69" s="9">
        <f t="shared" si="2"/>
        <v>-1.4681740763424207</v>
      </c>
      <c r="M69" s="2">
        <f t="shared" si="3"/>
        <v>-1.689247733319534E-5</v>
      </c>
      <c r="N69" s="2">
        <f t="shared" si="14"/>
        <v>0.25360062824673085</v>
      </c>
      <c r="O69">
        <f t="shared" si="15"/>
        <v>0.18287769855926819</v>
      </c>
      <c r="P69" s="10">
        <f t="shared" si="4"/>
        <v>1727.2523976451957</v>
      </c>
      <c r="Q69" s="10">
        <f t="shared" si="5"/>
        <v>4263.1595911681634</v>
      </c>
      <c r="R69" s="10">
        <f t="shared" si="6"/>
        <v>5990.4119888133591</v>
      </c>
    </row>
    <row r="70" spans="3:18" x14ac:dyDescent="0.25">
      <c r="C70" s="1">
        <f t="shared" si="7"/>
        <v>32.5</v>
      </c>
      <c r="D70" s="10">
        <f t="shared" si="8"/>
        <v>-0.32500000000000001</v>
      </c>
      <c r="E70" s="10">
        <f t="shared" ref="E70:E130" si="16">E69+K69</f>
        <v>0.41917612765065798</v>
      </c>
      <c r="F70" s="10">
        <f t="shared" si="9"/>
        <v>0.18763735383737942</v>
      </c>
      <c r="G70" s="8">
        <f t="shared" ref="G70:G130" si="17">F70*$B$4/($B$4+2*F70)</f>
        <v>0.17453745533179249</v>
      </c>
      <c r="H70">
        <f t="shared" si="10"/>
        <v>2.1317716958781561</v>
      </c>
      <c r="I70">
        <f t="shared" si="11"/>
        <v>0.23162337223991994</v>
      </c>
      <c r="J70">
        <f t="shared" si="12"/>
        <v>9.9530229113118512E-3</v>
      </c>
      <c r="K70" s="2">
        <f t="shared" si="13"/>
        <v>2.3488544344074484E-5</v>
      </c>
      <c r="L70" s="9">
        <f t="shared" ref="L70:L130" si="18">1-$B$7^2/($B$4^2*F70^3*9.81)</f>
        <v>-1.4688407452245587</v>
      </c>
      <c r="M70" s="2">
        <f t="shared" ref="M70:M130" si="19">K70/L70</f>
        <v>-1.599121240368609E-5</v>
      </c>
      <c r="N70" s="2">
        <f t="shared" si="14"/>
        <v>0.25360062824673085</v>
      </c>
      <c r="O70">
        <f t="shared" si="15"/>
        <v>0.18287769855926819</v>
      </c>
      <c r="P70" s="10">
        <f t="shared" ref="P70:P130" si="20">1000*9.81*F70^2*$B$4</f>
        <v>1726.941440027357</v>
      </c>
      <c r="Q70" s="10">
        <f t="shared" ref="Q70:Q130" si="21">F70*$B$4*1000*H70^2</f>
        <v>4263.5433917563114</v>
      </c>
      <c r="R70" s="10">
        <f t="shared" ref="R70:R130" si="22">Q70+P70</f>
        <v>5990.4848317836686</v>
      </c>
    </row>
    <row r="71" spans="3:18" x14ac:dyDescent="0.25">
      <c r="C71" s="1">
        <f t="shared" ref="C71:C130" si="23">C70+$B$13</f>
        <v>33</v>
      </c>
      <c r="D71" s="10">
        <f t="shared" ref="D71:D130" si="24">-$B$8*C71</f>
        <v>-0.33</v>
      </c>
      <c r="E71" s="10">
        <f t="shared" si="16"/>
        <v>0.41919961619500207</v>
      </c>
      <c r="F71" s="10">
        <f t="shared" ref="F71:F130" si="25">F70+M70</f>
        <v>0.18762136262497572</v>
      </c>
      <c r="G71" s="8">
        <f t="shared" si="17"/>
        <v>0.17452361894620419</v>
      </c>
      <c r="H71">
        <f t="shared" ref="H71:H130" si="26">$B$7/(F71*$B$4)</f>
        <v>2.1319533895483653</v>
      </c>
      <c r="I71">
        <f t="shared" ref="I71:I130" si="27">H71^2/(2*9.81)</f>
        <v>0.23166285704417755</v>
      </c>
      <c r="J71">
        <f t="shared" ref="J71:J130" si="28">$B$10*I71/(4*G71)</f>
        <v>9.9555088206536458E-3</v>
      </c>
      <c r="K71" s="2">
        <f t="shared" ref="K71:K130" si="29">($B$8-J71)*$B$13</f>
        <v>2.2245589673177205E-5</v>
      </c>
      <c r="L71" s="9">
        <f t="shared" si="18"/>
        <v>-1.4694720665389642</v>
      </c>
      <c r="M71" s="2">
        <f t="shared" si="19"/>
        <v>-1.513849101301535E-5</v>
      </c>
      <c r="N71" s="2">
        <f t="shared" ref="N71:N130" si="30">$B$18</f>
        <v>0.25360062824673085</v>
      </c>
      <c r="O71">
        <f t="shared" ref="O71:O130" si="31">$B$15</f>
        <v>0.18287769855926819</v>
      </c>
      <c r="P71" s="10">
        <f t="shared" si="20"/>
        <v>1726.6470987350417</v>
      </c>
      <c r="Q71" s="10">
        <f t="shared" si="21"/>
        <v>4263.9067790967301</v>
      </c>
      <c r="R71" s="10">
        <f t="shared" si="22"/>
        <v>5990.5538778317714</v>
      </c>
    </row>
    <row r="72" spans="3:18" x14ac:dyDescent="0.25">
      <c r="C72" s="1">
        <f t="shared" si="23"/>
        <v>33.5</v>
      </c>
      <c r="D72" s="10">
        <f t="shared" si="24"/>
        <v>-0.33500000000000002</v>
      </c>
      <c r="E72" s="10">
        <f t="shared" si="16"/>
        <v>0.41922186178467524</v>
      </c>
      <c r="F72" s="10">
        <f t="shared" si="25"/>
        <v>0.18760622413396272</v>
      </c>
      <c r="G72" s="8">
        <f t="shared" si="17"/>
        <v>0.17451052022549896</v>
      </c>
      <c r="H72">
        <f t="shared" si="26"/>
        <v>2.1321254230583242</v>
      </c>
      <c r="I72">
        <f t="shared" si="27"/>
        <v>0.23170024564993055</v>
      </c>
      <c r="J72">
        <f t="shared" si="28"/>
        <v>9.9578629421824619E-3</v>
      </c>
      <c r="K72" s="2">
        <f t="shared" si="29"/>
        <v>2.1068528908769167E-5</v>
      </c>
      <c r="L72" s="9">
        <f t="shared" si="18"/>
        <v>-1.4700699213953787</v>
      </c>
      <c r="M72" s="2">
        <f t="shared" si="19"/>
        <v>-1.4331650897782527E-5</v>
      </c>
      <c r="N72" s="2">
        <f t="shared" si="30"/>
        <v>0.25360062824673085</v>
      </c>
      <c r="O72">
        <f t="shared" si="31"/>
        <v>0.18287769855926819</v>
      </c>
      <c r="P72" s="10">
        <f t="shared" si="20"/>
        <v>1726.3684761230204</v>
      </c>
      <c r="Q72" s="10">
        <f t="shared" si="21"/>
        <v>4264.2508461166481</v>
      </c>
      <c r="R72" s="10">
        <f t="shared" si="22"/>
        <v>5990.6193222396687</v>
      </c>
    </row>
    <row r="73" spans="3:18" x14ac:dyDescent="0.25">
      <c r="C73" s="1">
        <f t="shared" si="23"/>
        <v>34</v>
      </c>
      <c r="D73" s="10">
        <f t="shared" si="24"/>
        <v>-0.34</v>
      </c>
      <c r="E73" s="10">
        <f t="shared" si="16"/>
        <v>0.41924293031358401</v>
      </c>
      <c r="F73" s="10">
        <f t="shared" si="25"/>
        <v>0.18759189248306493</v>
      </c>
      <c r="G73" s="8">
        <f t="shared" si="17"/>
        <v>0.1744981194947616</v>
      </c>
      <c r="H73">
        <f t="shared" si="26"/>
        <v>2.1322883132388593</v>
      </c>
      <c r="I73">
        <f t="shared" si="27"/>
        <v>0.23173564988659628</v>
      </c>
      <c r="J73">
        <f t="shared" si="28"/>
        <v>9.9600922874223136E-3</v>
      </c>
      <c r="K73" s="2">
        <f t="shared" si="29"/>
        <v>1.9953856288843289E-5</v>
      </c>
      <c r="L73" s="9">
        <f t="shared" si="18"/>
        <v>-1.4706360900700068</v>
      </c>
      <c r="M73" s="2">
        <f t="shared" si="19"/>
        <v>-1.3568180750884078E-5</v>
      </c>
      <c r="N73" s="2">
        <f t="shared" si="30"/>
        <v>0.25360062824673085</v>
      </c>
      <c r="O73">
        <f t="shared" si="31"/>
        <v>0.18287769855926819</v>
      </c>
      <c r="P73" s="10">
        <f t="shared" si="20"/>
        <v>1726.1047240497808</v>
      </c>
      <c r="Q73" s="10">
        <f t="shared" si="21"/>
        <v>4264.5766264777176</v>
      </c>
      <c r="R73" s="10">
        <f t="shared" si="22"/>
        <v>5990.6813505274986</v>
      </c>
    </row>
    <row r="74" spans="3:18" x14ac:dyDescent="0.25">
      <c r="C74" s="1">
        <f t="shared" si="23"/>
        <v>34.5</v>
      </c>
      <c r="D74" s="10">
        <f t="shared" si="24"/>
        <v>-0.34500000000000003</v>
      </c>
      <c r="E74" s="10">
        <f t="shared" si="16"/>
        <v>0.41926288416987284</v>
      </c>
      <c r="F74" s="10">
        <f t="shared" si="25"/>
        <v>0.18757832430231405</v>
      </c>
      <c r="G74" s="8">
        <f t="shared" si="17"/>
        <v>0.17448637924906685</v>
      </c>
      <c r="H74">
        <f t="shared" si="26"/>
        <v>2.1324425489340264</v>
      </c>
      <c r="I74">
        <f t="shared" si="27"/>
        <v>0.23176917556086887</v>
      </c>
      <c r="J74">
        <f t="shared" si="28"/>
        <v>9.9622034922580514E-3</v>
      </c>
      <c r="K74" s="2">
        <f t="shared" si="29"/>
        <v>1.8898253870974421E-5</v>
      </c>
      <c r="L74" s="9">
        <f t="shared" si="18"/>
        <v>-1.4711722574867854</v>
      </c>
      <c r="M74" s="2">
        <f t="shared" si="19"/>
        <v>-1.2845711149596071E-5</v>
      </c>
      <c r="N74" s="2">
        <f t="shared" si="30"/>
        <v>0.25360062824673085</v>
      </c>
      <c r="O74">
        <f t="shared" si="31"/>
        <v>0.18287769855926819</v>
      </c>
      <c r="P74" s="10">
        <f t="shared" si="20"/>
        <v>1725.8550410425441</v>
      </c>
      <c r="Q74" s="10">
        <f t="shared" si="21"/>
        <v>4264.885097868053</v>
      </c>
      <c r="R74" s="10">
        <f t="shared" si="22"/>
        <v>5990.7401389105971</v>
      </c>
    </row>
    <row r="75" spans="3:18" x14ac:dyDescent="0.25">
      <c r="C75" s="1">
        <f t="shared" si="23"/>
        <v>35</v>
      </c>
      <c r="D75" s="10">
        <f t="shared" si="24"/>
        <v>-0.35000000000000003</v>
      </c>
      <c r="E75" s="10">
        <f t="shared" si="16"/>
        <v>0.41928178242374381</v>
      </c>
      <c r="F75" s="10">
        <f t="shared" si="25"/>
        <v>0.18756547859116446</v>
      </c>
      <c r="G75" s="8">
        <f t="shared" si="17"/>
        <v>0.17447526403104349</v>
      </c>
      <c r="H75">
        <f t="shared" si="26"/>
        <v>2.132588592551607</v>
      </c>
      <c r="I75">
        <f t="shared" si="27"/>
        <v>0.23180092278701547</v>
      </c>
      <c r="J75">
        <f t="shared" si="28"/>
        <v>9.9642028373333903E-3</v>
      </c>
      <c r="K75" s="2">
        <f t="shared" si="29"/>
        <v>1.7898581333304978E-5</v>
      </c>
      <c r="L75" s="9">
        <f t="shared" si="18"/>
        <v>-1.4716800183926257</v>
      </c>
      <c r="M75" s="2">
        <f t="shared" si="19"/>
        <v>-1.2162006081222651E-5</v>
      </c>
      <c r="N75" s="2">
        <f t="shared" si="30"/>
        <v>0.25360062824673085</v>
      </c>
      <c r="O75">
        <f t="shared" si="31"/>
        <v>0.18287769855926819</v>
      </c>
      <c r="P75" s="10">
        <f t="shared" si="20"/>
        <v>1725.6186696354528</v>
      </c>
      <c r="Q75" s="10">
        <f t="shared" si="21"/>
        <v>4265.1771851032136</v>
      </c>
      <c r="R75" s="10">
        <f t="shared" si="22"/>
        <v>5990.7958547386661</v>
      </c>
    </row>
    <row r="76" spans="3:18" x14ac:dyDescent="0.25">
      <c r="C76" s="1">
        <f t="shared" si="23"/>
        <v>35.5</v>
      </c>
      <c r="D76" s="10">
        <f t="shared" si="24"/>
        <v>-0.35499999999999998</v>
      </c>
      <c r="E76" s="10">
        <f t="shared" si="16"/>
        <v>0.41929968100507714</v>
      </c>
      <c r="F76" s="10">
        <f t="shared" si="25"/>
        <v>0.18755331658508323</v>
      </c>
      <c r="G76" s="8">
        <f t="shared" si="17"/>
        <v>0.1744647403157347</v>
      </c>
      <c r="H76">
        <f t="shared" si="26"/>
        <v>2.1327268815240634</v>
      </c>
      <c r="I76">
        <f t="shared" si="27"/>
        <v>0.23183098629843815</v>
      </c>
      <c r="J76">
        <f t="shared" si="28"/>
        <v>9.9660962673124888E-3</v>
      </c>
      <c r="K76" s="2">
        <f t="shared" si="29"/>
        <v>1.6951866343755707E-5</v>
      </c>
      <c r="L76" s="9">
        <f t="shared" si="18"/>
        <v>-1.4721608822445797</v>
      </c>
      <c r="M76" s="2">
        <f t="shared" si="19"/>
        <v>-1.1514955021702161E-5</v>
      </c>
      <c r="N76" s="2">
        <f t="shared" si="30"/>
        <v>0.25360062824673085</v>
      </c>
      <c r="O76">
        <f t="shared" si="31"/>
        <v>0.18287769855926819</v>
      </c>
      <c r="P76" s="10">
        <f t="shared" si="20"/>
        <v>1725.3948938692615</v>
      </c>
      <c r="Q76" s="10">
        <f t="shared" si="21"/>
        <v>4265.4537630481263</v>
      </c>
      <c r="R76" s="10">
        <f t="shared" si="22"/>
        <v>5990.8486569173874</v>
      </c>
    </row>
    <row r="77" spans="3:18" x14ac:dyDescent="0.25">
      <c r="C77" s="1">
        <f t="shared" si="23"/>
        <v>36</v>
      </c>
      <c r="D77" s="10">
        <f t="shared" si="24"/>
        <v>-0.36</v>
      </c>
      <c r="E77" s="10">
        <f t="shared" si="16"/>
        <v>0.4193166328714209</v>
      </c>
      <c r="F77" s="10">
        <f t="shared" si="25"/>
        <v>0.18754180163006154</v>
      </c>
      <c r="G77" s="8">
        <f t="shared" si="17"/>
        <v>0.17445477640228027</v>
      </c>
      <c r="H77">
        <f t="shared" si="26"/>
        <v>2.1328578296854914</v>
      </c>
      <c r="I77">
        <f t="shared" si="27"/>
        <v>0.23185945574162614</v>
      </c>
      <c r="J77">
        <f t="shared" si="28"/>
        <v>9.967889409071326E-3</v>
      </c>
      <c r="K77" s="2">
        <f t="shared" si="29"/>
        <v>1.6055295464337087E-5</v>
      </c>
      <c r="L77" s="9">
        <f t="shared" si="18"/>
        <v>-1.4726162778257192</v>
      </c>
      <c r="M77" s="2">
        <f t="shared" si="19"/>
        <v>-1.0902565526467169E-5</v>
      </c>
      <c r="N77" s="2">
        <f t="shared" si="30"/>
        <v>0.25360062824673085</v>
      </c>
      <c r="O77">
        <f t="shared" si="31"/>
        <v>0.18287769855926819</v>
      </c>
      <c r="P77" s="10">
        <f t="shared" si="20"/>
        <v>1725.1830369417507</v>
      </c>
      <c r="Q77" s="10">
        <f t="shared" si="21"/>
        <v>4265.7156593709833</v>
      </c>
      <c r="R77" s="10">
        <f t="shared" si="22"/>
        <v>5990.8986963127336</v>
      </c>
    </row>
    <row r="78" spans="3:18" x14ac:dyDescent="0.25">
      <c r="C78" s="1">
        <f t="shared" si="23"/>
        <v>36.5</v>
      </c>
      <c r="D78" s="10">
        <f t="shared" si="24"/>
        <v>-0.36499999999999999</v>
      </c>
      <c r="E78" s="10">
        <f t="shared" si="16"/>
        <v>0.41933268816688524</v>
      </c>
      <c r="F78" s="10">
        <f t="shared" si="25"/>
        <v>0.18753089906453507</v>
      </c>
      <c r="G78" s="8">
        <f t="shared" si="17"/>
        <v>0.17444534231198056</v>
      </c>
      <c r="H78">
        <f t="shared" si="26"/>
        <v>2.1329818285697435</v>
      </c>
      <c r="I78">
        <f t="shared" si="27"/>
        <v>0.23188641595355386</v>
      </c>
      <c r="J78">
        <f t="shared" si="28"/>
        <v>9.969587588881201E-3</v>
      </c>
      <c r="K78" s="2">
        <f t="shared" si="29"/>
        <v>1.520620555939961E-5</v>
      </c>
      <c r="L78" s="9">
        <f t="shared" si="18"/>
        <v>-1.4730475576054767</v>
      </c>
      <c r="M78" s="2">
        <f t="shared" si="19"/>
        <v>-1.0322956296209587E-5</v>
      </c>
      <c r="N78" s="2">
        <f t="shared" si="30"/>
        <v>0.25360062824673085</v>
      </c>
      <c r="O78">
        <f t="shared" si="31"/>
        <v>0.18287769855926819</v>
      </c>
      <c r="P78" s="10">
        <f t="shared" si="20"/>
        <v>1724.9824589988866</v>
      </c>
      <c r="Q78" s="10">
        <f t="shared" si="21"/>
        <v>4265.9636571394867</v>
      </c>
      <c r="R78" s="10">
        <f t="shared" si="22"/>
        <v>5990.9461161383733</v>
      </c>
    </row>
    <row r="79" spans="3:18" x14ac:dyDescent="0.25">
      <c r="C79" s="1">
        <f t="shared" si="23"/>
        <v>37</v>
      </c>
      <c r="D79" s="10">
        <f t="shared" si="24"/>
        <v>-0.37</v>
      </c>
      <c r="E79" s="10">
        <f t="shared" si="16"/>
        <v>0.41934789437244463</v>
      </c>
      <c r="F79" s="10">
        <f t="shared" si="25"/>
        <v>0.18752057610823886</v>
      </c>
      <c r="G79" s="8">
        <f t="shared" si="17"/>
        <v>0.17443640969233506</v>
      </c>
      <c r="H79">
        <f t="shared" si="26"/>
        <v>2.1330992486345379</v>
      </c>
      <c r="I79">
        <f t="shared" si="27"/>
        <v>0.23191194722350816</v>
      </c>
      <c r="J79">
        <f t="shared" si="28"/>
        <v>9.9711958486424848E-3</v>
      </c>
      <c r="K79" s="2">
        <f t="shared" si="29"/>
        <v>1.4402075678757696E-5</v>
      </c>
      <c r="L79" s="9">
        <f t="shared" si="18"/>
        <v>-1.4734560018591893</v>
      </c>
      <c r="M79" s="2">
        <f t="shared" si="19"/>
        <v>-9.7743506834173042E-6</v>
      </c>
      <c r="N79" s="2">
        <f t="shared" si="30"/>
        <v>0.25360062824673085</v>
      </c>
      <c r="O79">
        <f t="shared" si="31"/>
        <v>0.18287769855926819</v>
      </c>
      <c r="P79" s="10">
        <f t="shared" si="20"/>
        <v>1724.7925550575226</v>
      </c>
      <c r="Q79" s="10">
        <f t="shared" si="21"/>
        <v>4266.1984972690761</v>
      </c>
      <c r="R79" s="10">
        <f t="shared" si="22"/>
        <v>5990.9910523265989</v>
      </c>
    </row>
    <row r="80" spans="3:18" x14ac:dyDescent="0.25">
      <c r="C80" s="1">
        <f t="shared" si="23"/>
        <v>37.5</v>
      </c>
      <c r="D80" s="10">
        <f t="shared" si="24"/>
        <v>-0.375</v>
      </c>
      <c r="E80" s="10">
        <f t="shared" si="16"/>
        <v>0.4193622964481234</v>
      </c>
      <c r="F80" s="10">
        <f t="shared" si="25"/>
        <v>0.18751080175755544</v>
      </c>
      <c r="G80" s="8">
        <f t="shared" si="17"/>
        <v>0.17442795172667652</v>
      </c>
      <c r="H80">
        <f t="shared" si="26"/>
        <v>2.1332104404160424</v>
      </c>
      <c r="I80">
        <f t="shared" si="27"/>
        <v>0.2319361255402653</v>
      </c>
      <c r="J80">
        <f t="shared" si="28"/>
        <v>9.9727189612234153E-3</v>
      </c>
      <c r="K80" s="2">
        <f t="shared" si="29"/>
        <v>1.3640519388292451E-5</v>
      </c>
      <c r="L80" s="9">
        <f t="shared" si="18"/>
        <v>-1.4738428225606981</v>
      </c>
      <c r="M80" s="2">
        <f t="shared" si="19"/>
        <v>-9.2550706082708394E-6</v>
      </c>
      <c r="N80" s="2">
        <f t="shared" si="30"/>
        <v>0.25360062824673085</v>
      </c>
      <c r="O80">
        <f t="shared" si="31"/>
        <v>0.18287769855926819</v>
      </c>
      <c r="P80" s="10">
        <f t="shared" si="20"/>
        <v>1724.6127530510898</v>
      </c>
      <c r="Q80" s="10">
        <f t="shared" si="21"/>
        <v>4266.4208808320855</v>
      </c>
      <c r="R80" s="10">
        <f t="shared" si="22"/>
        <v>5991.0336338831748</v>
      </c>
    </row>
    <row r="81" spans="3:18" x14ac:dyDescent="0.25">
      <c r="C81" s="1">
        <f t="shared" si="23"/>
        <v>38</v>
      </c>
      <c r="D81" s="10">
        <f t="shared" si="24"/>
        <v>-0.38</v>
      </c>
      <c r="E81" s="10">
        <f t="shared" si="16"/>
        <v>0.41937593696751169</v>
      </c>
      <c r="F81" s="10">
        <f t="shared" si="25"/>
        <v>0.18750154668694716</v>
      </c>
      <c r="G81" s="8">
        <f t="shared" si="17"/>
        <v>0.17441994304904881</v>
      </c>
      <c r="H81">
        <f t="shared" si="26"/>
        <v>2.1333157356181203</v>
      </c>
      <c r="I81">
        <f t="shared" si="27"/>
        <v>0.23195902282547817</v>
      </c>
      <c r="J81">
        <f t="shared" si="28"/>
        <v>9.9741614449550958E-3</v>
      </c>
      <c r="K81" s="2">
        <f t="shared" si="29"/>
        <v>1.2919277522452192E-5</v>
      </c>
      <c r="L81" s="9">
        <f t="shared" si="18"/>
        <v>-1.4742091670609763</v>
      </c>
      <c r="M81" s="2">
        <f t="shared" si="19"/>
        <v>-8.7635308551285278E-6</v>
      </c>
      <c r="N81" s="2">
        <f t="shared" si="30"/>
        <v>0.25360062824673085</v>
      </c>
      <c r="O81">
        <f t="shared" si="31"/>
        <v>0.18287769855926819</v>
      </c>
      <c r="P81" s="10">
        <f t="shared" si="20"/>
        <v>1724.4425119903738</v>
      </c>
      <c r="Q81" s="10">
        <f t="shared" si="21"/>
        <v>4266.6314712362409</v>
      </c>
      <c r="R81" s="10">
        <f t="shared" si="22"/>
        <v>5991.0739832266145</v>
      </c>
    </row>
    <row r="82" spans="3:18" x14ac:dyDescent="0.25">
      <c r="C82" s="1">
        <f t="shared" si="23"/>
        <v>38.5</v>
      </c>
      <c r="D82" s="10">
        <f t="shared" si="24"/>
        <v>-0.38500000000000001</v>
      </c>
      <c r="E82" s="10">
        <f t="shared" si="16"/>
        <v>0.41938885624503414</v>
      </c>
      <c r="F82" s="10">
        <f t="shared" si="25"/>
        <v>0.18749278315609202</v>
      </c>
      <c r="G82" s="8">
        <f t="shared" si="17"/>
        <v>0.17441235966400198</v>
      </c>
      <c r="H82">
        <f t="shared" si="26"/>
        <v>2.1334154481401608</v>
      </c>
      <c r="I82">
        <f t="shared" si="27"/>
        <v>0.23198070715408167</v>
      </c>
      <c r="J82">
        <f t="shared" si="28"/>
        <v>9.9755275773309292E-3</v>
      </c>
      <c r="K82" s="2">
        <f t="shared" si="29"/>
        <v>1.2236211334535479E-5</v>
      </c>
      <c r="L82" s="9">
        <f t="shared" si="18"/>
        <v>-1.4745561215649818</v>
      </c>
      <c r="M82" s="2">
        <f t="shared" si="19"/>
        <v>-8.2982337230738258E-6</v>
      </c>
      <c r="N82" s="2">
        <f t="shared" si="30"/>
        <v>0.25360062824673085</v>
      </c>
      <c r="O82">
        <f t="shared" si="31"/>
        <v>0.18287769855926819</v>
      </c>
      <c r="P82" s="10">
        <f t="shared" si="20"/>
        <v>1724.2813202320308</v>
      </c>
      <c r="Q82" s="10">
        <f t="shared" si="21"/>
        <v>4266.8308962803221</v>
      </c>
      <c r="R82" s="10">
        <f t="shared" si="22"/>
        <v>5991.1122165123525</v>
      </c>
    </row>
    <row r="83" spans="3:18" x14ac:dyDescent="0.25">
      <c r="C83" s="1">
        <f t="shared" si="23"/>
        <v>39</v>
      </c>
      <c r="D83" s="10">
        <f t="shared" si="24"/>
        <v>-0.39</v>
      </c>
      <c r="E83" s="10">
        <f t="shared" si="16"/>
        <v>0.4194010924563687</v>
      </c>
      <c r="F83" s="10">
        <f t="shared" si="25"/>
        <v>0.18748448492236894</v>
      </c>
      <c r="G83" s="8">
        <f t="shared" si="17"/>
        <v>0.17440517887099974</v>
      </c>
      <c r="H83">
        <f t="shared" si="26"/>
        <v>2.1335098750471362</v>
      </c>
      <c r="I83">
        <f t="shared" si="27"/>
        <v>0.23200124296246927</v>
      </c>
      <c r="J83">
        <f t="shared" si="28"/>
        <v>9.976821407955621E-3</v>
      </c>
      <c r="K83" s="2">
        <f t="shared" si="29"/>
        <v>1.1589296022189617E-5</v>
      </c>
      <c r="L83" s="9">
        <f t="shared" si="18"/>
        <v>-1.4748847144181889</v>
      </c>
      <c r="M83" s="2">
        <f t="shared" si="19"/>
        <v>-7.8577640061591876E-6</v>
      </c>
      <c r="N83" s="2">
        <f t="shared" si="30"/>
        <v>0.25360062824673085</v>
      </c>
      <c r="O83">
        <f t="shared" si="31"/>
        <v>0.18287769855926819</v>
      </c>
      <c r="P83" s="10">
        <f t="shared" si="20"/>
        <v>1724.1286938480239</v>
      </c>
      <c r="Q83" s="10">
        <f t="shared" si="21"/>
        <v>4267.0197500942731</v>
      </c>
      <c r="R83" s="10">
        <f t="shared" si="22"/>
        <v>5991.1484439422966</v>
      </c>
    </row>
    <row r="84" spans="3:18" x14ac:dyDescent="0.25">
      <c r="C84" s="1">
        <f t="shared" si="23"/>
        <v>39.5</v>
      </c>
      <c r="D84" s="10">
        <f t="shared" si="24"/>
        <v>-0.39500000000000002</v>
      </c>
      <c r="E84" s="10">
        <f t="shared" si="16"/>
        <v>0.41941268175239088</v>
      </c>
      <c r="F84" s="10">
        <f t="shared" si="25"/>
        <v>0.18747662715836277</v>
      </c>
      <c r="G84" s="8">
        <f t="shared" si="17"/>
        <v>0.17439837919315557</v>
      </c>
      <c r="H84">
        <f t="shared" si="26"/>
        <v>2.1335992974853197</v>
      </c>
      <c r="I84">
        <f t="shared" si="27"/>
        <v>0.23202069124515032</v>
      </c>
      <c r="J84">
        <f t="shared" si="28"/>
        <v>9.9780467707862811E-3</v>
      </c>
      <c r="K84" s="2">
        <f t="shared" si="29"/>
        <v>1.0976614606859544E-5</v>
      </c>
      <c r="L84" s="9">
        <f t="shared" si="18"/>
        <v>-1.4751959192135544</v>
      </c>
      <c r="M84" s="2">
        <f t="shared" si="19"/>
        <v>-7.4407842808508553E-6</v>
      </c>
      <c r="N84" s="2">
        <f t="shared" si="30"/>
        <v>0.25360062824673085</v>
      </c>
      <c r="O84">
        <f t="shared" si="31"/>
        <v>0.18287769855926819</v>
      </c>
      <c r="P84" s="10">
        <f t="shared" si="20"/>
        <v>1723.9841750896467</v>
      </c>
      <c r="Q84" s="10">
        <f t="shared" si="21"/>
        <v>4267.1985949706395</v>
      </c>
      <c r="R84" s="10">
        <f t="shared" si="22"/>
        <v>5991.1827700602862</v>
      </c>
    </row>
    <row r="85" spans="3:18" x14ac:dyDescent="0.25">
      <c r="C85" s="1">
        <f t="shared" si="23"/>
        <v>40</v>
      </c>
      <c r="D85" s="10">
        <f t="shared" si="24"/>
        <v>-0.4</v>
      </c>
      <c r="E85" s="10">
        <f t="shared" si="16"/>
        <v>0.41942365836699774</v>
      </c>
      <c r="F85" s="10">
        <f t="shared" si="25"/>
        <v>0.18746918637408191</v>
      </c>
      <c r="G85" s="8">
        <f t="shared" si="17"/>
        <v>0.17439194031003408</v>
      </c>
      <c r="H85">
        <f t="shared" si="26"/>
        <v>2.1336839815468522</v>
      </c>
      <c r="I85">
        <f t="shared" si="27"/>
        <v>0.23203910974055186</v>
      </c>
      <c r="J85">
        <f t="shared" si="28"/>
        <v>9.9792072957055507E-3</v>
      </c>
      <c r="K85" s="2">
        <f t="shared" si="29"/>
        <v>1.0396352147224765E-5</v>
      </c>
      <c r="L85" s="9">
        <f t="shared" si="18"/>
        <v>-1.475490657729039</v>
      </c>
      <c r="M85" s="2">
        <f t="shared" si="19"/>
        <v>-7.0460304799394833E-6</v>
      </c>
      <c r="N85" s="2">
        <f t="shared" si="30"/>
        <v>0.25360062824673085</v>
      </c>
      <c r="O85">
        <f t="shared" si="31"/>
        <v>0.18287769855926819</v>
      </c>
      <c r="P85" s="10">
        <f t="shared" si="20"/>
        <v>1723.8473309402407</v>
      </c>
      <c r="Q85" s="10">
        <f t="shared" si="21"/>
        <v>4267.367963093704</v>
      </c>
      <c r="R85" s="10">
        <f t="shared" si="22"/>
        <v>5991.2152940339447</v>
      </c>
    </row>
    <row r="86" spans="3:18" x14ac:dyDescent="0.25">
      <c r="C86" s="1">
        <f t="shared" si="23"/>
        <v>40.5</v>
      </c>
      <c r="D86" s="10">
        <f t="shared" si="24"/>
        <v>-0.40500000000000003</v>
      </c>
      <c r="E86" s="10">
        <f t="shared" si="16"/>
        <v>0.41943405471914497</v>
      </c>
      <c r="F86" s="10">
        <f t="shared" si="25"/>
        <v>0.18746214034360198</v>
      </c>
      <c r="G86" s="8">
        <f t="shared" si="17"/>
        <v>0.17438584299427029</v>
      </c>
      <c r="H86">
        <f t="shared" si="26"/>
        <v>2.1337641790861581</v>
      </c>
      <c r="I86">
        <f t="shared" si="27"/>
        <v>0.23205655310658643</v>
      </c>
      <c r="J86">
        <f t="shared" si="28"/>
        <v>9.9803064194642355E-3</v>
      </c>
      <c r="K86" s="2">
        <f t="shared" si="29"/>
        <v>9.8467902678823702E-6</v>
      </c>
      <c r="L86" s="9">
        <f t="shared" si="18"/>
        <v>-1.4757698027051935</v>
      </c>
      <c r="M86" s="2">
        <f t="shared" si="19"/>
        <v>-6.6723077337891633E-6</v>
      </c>
      <c r="N86" s="2">
        <f t="shared" si="30"/>
        <v>0.25360062824673085</v>
      </c>
      <c r="O86">
        <f t="shared" si="31"/>
        <v>0.18287769855926819</v>
      </c>
      <c r="P86" s="10">
        <f t="shared" si="20"/>
        <v>1723.7177517511223</v>
      </c>
      <c r="Q86" s="10">
        <f t="shared" si="21"/>
        <v>4267.5283581723161</v>
      </c>
      <c r="R86" s="10">
        <f t="shared" si="22"/>
        <v>5991.2461099234388</v>
      </c>
    </row>
    <row r="87" spans="3:18" x14ac:dyDescent="0.25">
      <c r="C87" s="1">
        <f t="shared" si="23"/>
        <v>41</v>
      </c>
      <c r="D87" s="10">
        <f t="shared" si="24"/>
        <v>-0.41000000000000003</v>
      </c>
      <c r="E87" s="10">
        <f t="shared" si="16"/>
        <v>0.41944390150941285</v>
      </c>
      <c r="F87" s="10">
        <f t="shared" si="25"/>
        <v>0.18745546803586818</v>
      </c>
      <c r="G87" s="8">
        <f t="shared" si="17"/>
        <v>0.17438006905177703</v>
      </c>
      <c r="H87">
        <f t="shared" si="26"/>
        <v>2.1338401284910131</v>
      </c>
      <c r="I87">
        <f t="shared" si="27"/>
        <v>0.23207307308657202</v>
      </c>
      <c r="J87">
        <f t="shared" si="28"/>
        <v>9.9813473960288744E-3</v>
      </c>
      <c r="K87" s="2">
        <f t="shared" si="29"/>
        <v>9.3263019855628973E-6</v>
      </c>
      <c r="L87" s="9">
        <f t="shared" si="18"/>
        <v>-1.4760341804717765</v>
      </c>
      <c r="M87" s="2">
        <f t="shared" si="19"/>
        <v>-6.318486461188849E-6</v>
      </c>
      <c r="N87" s="2">
        <f t="shared" si="30"/>
        <v>0.25360062824673085</v>
      </c>
      <c r="O87">
        <f t="shared" si="31"/>
        <v>0.18287769855926819</v>
      </c>
      <c r="P87" s="10">
        <f t="shared" si="20"/>
        <v>1723.5950499556009</v>
      </c>
      <c r="Q87" s="10">
        <f t="shared" si="21"/>
        <v>4267.6802569820256</v>
      </c>
      <c r="R87" s="10">
        <f t="shared" si="22"/>
        <v>5991.2753069376267</v>
      </c>
    </row>
    <row r="88" spans="3:18" x14ac:dyDescent="0.25">
      <c r="C88" s="1">
        <f t="shared" si="23"/>
        <v>41.5</v>
      </c>
      <c r="D88" s="10">
        <f t="shared" si="24"/>
        <v>-0.41500000000000004</v>
      </c>
      <c r="E88" s="10">
        <f t="shared" si="16"/>
        <v>0.41945322781139843</v>
      </c>
      <c r="F88" s="10">
        <f t="shared" si="25"/>
        <v>0.187449149549407</v>
      </c>
      <c r="G88" s="8">
        <f t="shared" si="17"/>
        <v>0.17437460126532608</v>
      </c>
      <c r="H88">
        <f t="shared" si="26"/>
        <v>2.1339120554108986</v>
      </c>
      <c r="I88">
        <f t="shared" si="27"/>
        <v>0.2320887186660533</v>
      </c>
      <c r="J88">
        <f t="shared" si="28"/>
        <v>9.9823333063674014E-3</v>
      </c>
      <c r="K88" s="2">
        <f t="shared" si="29"/>
        <v>8.833346816299395E-6</v>
      </c>
      <c r="L88" s="9">
        <f t="shared" si="18"/>
        <v>-1.4762845734317973</v>
      </c>
      <c r="M88" s="2">
        <f t="shared" si="19"/>
        <v>-5.9834986934566691E-6</v>
      </c>
      <c r="N88" s="2">
        <f t="shared" si="30"/>
        <v>0.25360062824673085</v>
      </c>
      <c r="O88">
        <f t="shared" si="31"/>
        <v>0.18287769855926819</v>
      </c>
      <c r="P88" s="10">
        <f t="shared" si="20"/>
        <v>1723.4788588563415</v>
      </c>
      <c r="Q88" s="10">
        <f t="shared" si="21"/>
        <v>4267.8241108217971</v>
      </c>
      <c r="R88" s="10">
        <f t="shared" si="22"/>
        <v>5991.3029696781387</v>
      </c>
    </row>
    <row r="89" spans="3:18" x14ac:dyDescent="0.25">
      <c r="C89" s="1">
        <f t="shared" si="23"/>
        <v>42</v>
      </c>
      <c r="D89" s="10">
        <f t="shared" si="24"/>
        <v>-0.42</v>
      </c>
      <c r="E89" s="10">
        <f t="shared" si="16"/>
        <v>0.41946206115821472</v>
      </c>
      <c r="F89" s="10">
        <f t="shared" si="25"/>
        <v>0.18744316605071354</v>
      </c>
      <c r="G89" s="8">
        <f t="shared" si="17"/>
        <v>0.17436942334130126</v>
      </c>
      <c r="H89">
        <f t="shared" si="26"/>
        <v>2.133980173445098</v>
      </c>
      <c r="I89">
        <f t="shared" si="27"/>
        <v>0.23210353622103827</v>
      </c>
      <c r="J89">
        <f t="shared" si="28"/>
        <v>9.9832670677042108E-3</v>
      </c>
      <c r="K89" s="2">
        <f t="shared" si="29"/>
        <v>8.3664661478946925E-6</v>
      </c>
      <c r="L89" s="9">
        <f t="shared" si="18"/>
        <v>-1.476521722410959</v>
      </c>
      <c r="M89" s="2">
        <f t="shared" si="19"/>
        <v>-5.666334616624124E-6</v>
      </c>
      <c r="N89" s="2">
        <f t="shared" si="30"/>
        <v>0.25360062824673085</v>
      </c>
      <c r="O89">
        <f t="shared" si="31"/>
        <v>0.18287769855926819</v>
      </c>
      <c r="P89" s="10">
        <f t="shared" si="20"/>
        <v>1723.368831481609</v>
      </c>
      <c r="Q89" s="10">
        <f t="shared" si="21"/>
        <v>4267.960346890196</v>
      </c>
      <c r="R89" s="10">
        <f t="shared" si="22"/>
        <v>5991.329178371805</v>
      </c>
    </row>
    <row r="90" spans="3:18" x14ac:dyDescent="0.25">
      <c r="C90" s="1">
        <f t="shared" si="23"/>
        <v>42.5</v>
      </c>
      <c r="D90" s="10">
        <f t="shared" si="24"/>
        <v>-0.42499999999999999</v>
      </c>
      <c r="E90" s="10">
        <f t="shared" si="16"/>
        <v>0.4194704276243626</v>
      </c>
      <c r="F90" s="10">
        <f t="shared" si="25"/>
        <v>0.18743749971609691</v>
      </c>
      <c r="G90" s="8">
        <f t="shared" si="17"/>
        <v>0.17436451985943668</v>
      </c>
      <c r="H90">
        <f t="shared" si="26"/>
        <v>2.1340446847928609</v>
      </c>
      <c r="I90">
        <f t="shared" si="27"/>
        <v>0.23211756965813765</v>
      </c>
      <c r="J90">
        <f t="shared" si="28"/>
        <v>9.9841514422741376E-3</v>
      </c>
      <c r="K90" s="2">
        <f t="shared" si="29"/>
        <v>7.9242788629313096E-6</v>
      </c>
      <c r="L90" s="9">
        <f t="shared" si="18"/>
        <v>-1.4767463288799263</v>
      </c>
      <c r="M90" s="2">
        <f t="shared" si="19"/>
        <v>-5.3660393176271984E-6</v>
      </c>
      <c r="N90" s="2">
        <f t="shared" si="30"/>
        <v>0.25360062824673085</v>
      </c>
      <c r="O90">
        <f t="shared" si="31"/>
        <v>0.18287769855926819</v>
      </c>
      <c r="P90" s="10">
        <f t="shared" si="20"/>
        <v>1723.2646395062607</v>
      </c>
      <c r="Q90" s="10">
        <f t="shared" si="21"/>
        <v>4268.0893695857212</v>
      </c>
      <c r="R90" s="10">
        <f t="shared" si="22"/>
        <v>5991.3540090919814</v>
      </c>
    </row>
    <row r="91" spans="3:18" x14ac:dyDescent="0.25">
      <c r="C91" s="1">
        <f t="shared" si="23"/>
        <v>43</v>
      </c>
      <c r="D91" s="10">
        <f t="shared" si="24"/>
        <v>-0.43</v>
      </c>
      <c r="E91" s="10">
        <f t="shared" si="16"/>
        <v>0.41947835190322552</v>
      </c>
      <c r="F91" s="10">
        <f t="shared" si="25"/>
        <v>0.18743213367677927</v>
      </c>
      <c r="G91" s="8">
        <f t="shared" si="17"/>
        <v>0.17435987622536364</v>
      </c>
      <c r="H91">
        <f t="shared" si="26"/>
        <v>2.1341057808677952</v>
      </c>
      <c r="I91">
        <f t="shared" si="27"/>
        <v>0.23213086054706122</v>
      </c>
      <c r="J91">
        <f t="shared" si="28"/>
        <v>9.9849890456030471E-3</v>
      </c>
      <c r="K91" s="2">
        <f t="shared" si="29"/>
        <v>7.5054771984765789E-6</v>
      </c>
      <c r="L91" s="9">
        <f t="shared" si="18"/>
        <v>-1.4769590570564972</v>
      </c>
      <c r="M91" s="2">
        <f t="shared" si="19"/>
        <v>-5.0817097214831433E-6</v>
      </c>
      <c r="N91" s="2">
        <f t="shared" si="30"/>
        <v>0.25360062824673085</v>
      </c>
      <c r="O91">
        <f t="shared" si="31"/>
        <v>0.18287769855926819</v>
      </c>
      <c r="P91" s="10">
        <f t="shared" si="20"/>
        <v>1723.1659722336042</v>
      </c>
      <c r="Q91" s="10">
        <f t="shared" si="21"/>
        <v>4268.2115617355903</v>
      </c>
      <c r="R91" s="10">
        <f t="shared" si="22"/>
        <v>5991.3775339691947</v>
      </c>
    </row>
    <row r="92" spans="3:18" x14ac:dyDescent="0.25">
      <c r="C92" s="1">
        <f t="shared" si="23"/>
        <v>43.5</v>
      </c>
      <c r="D92" s="10">
        <f t="shared" si="24"/>
        <v>-0.435</v>
      </c>
      <c r="E92" s="10">
        <f t="shared" si="16"/>
        <v>0.41948585738042399</v>
      </c>
      <c r="F92" s="10">
        <f t="shared" si="25"/>
        <v>0.18742705196705778</v>
      </c>
      <c r="G92" s="8">
        <f t="shared" si="17"/>
        <v>0.174355478625802</v>
      </c>
      <c r="H92">
        <f t="shared" si="26"/>
        <v>2.1341636428785322</v>
      </c>
      <c r="I92">
        <f t="shared" si="27"/>
        <v>0.23214344824590047</v>
      </c>
      <c r="J92">
        <f t="shared" si="28"/>
        <v>9.985782354341232E-3</v>
      </c>
      <c r="K92" s="2">
        <f t="shared" si="29"/>
        <v>7.108822829384083E-6</v>
      </c>
      <c r="L92" s="9">
        <f t="shared" si="18"/>
        <v>-1.4771605358942748</v>
      </c>
      <c r="M92" s="2">
        <f t="shared" si="19"/>
        <v>-4.8124917073284749E-6</v>
      </c>
      <c r="N92" s="2">
        <f t="shared" si="30"/>
        <v>0.25360062824673085</v>
      </c>
      <c r="O92">
        <f t="shared" si="31"/>
        <v>0.18287769855926819</v>
      </c>
      <c r="P92" s="10">
        <f t="shared" si="20"/>
        <v>1723.0725356344999</v>
      </c>
      <c r="Q92" s="10">
        <f t="shared" si="21"/>
        <v>4268.3272857570646</v>
      </c>
      <c r="R92" s="10">
        <f t="shared" si="22"/>
        <v>5991.3998213915647</v>
      </c>
    </row>
    <row r="93" spans="3:18" x14ac:dyDescent="0.25">
      <c r="C93" s="1">
        <f t="shared" si="23"/>
        <v>44</v>
      </c>
      <c r="D93" s="10">
        <f t="shared" si="24"/>
        <v>-0.44</v>
      </c>
      <c r="E93" s="10">
        <f t="shared" si="16"/>
        <v>0.41949296620325338</v>
      </c>
      <c r="F93" s="10">
        <f t="shared" si="25"/>
        <v>0.18742223947535044</v>
      </c>
      <c r="G93" s="8">
        <f t="shared" si="17"/>
        <v>0.17435131398624187</v>
      </c>
      <c r="H93">
        <f t="shared" si="26"/>
        <v>2.1342184423775787</v>
      </c>
      <c r="I93">
        <f t="shared" si="27"/>
        <v>0.23215537001960132</v>
      </c>
      <c r="J93">
        <f t="shared" si="28"/>
        <v>9.9865337136742539E-3</v>
      </c>
      <c r="K93" s="2">
        <f t="shared" si="29"/>
        <v>6.7331431628731356E-6</v>
      </c>
      <c r="L93" s="9">
        <f t="shared" si="18"/>
        <v>-1.4773513609641205</v>
      </c>
      <c r="M93" s="2">
        <f t="shared" si="19"/>
        <v>-4.5575773920694681E-6</v>
      </c>
      <c r="N93" s="2">
        <f t="shared" si="30"/>
        <v>0.25360062824673085</v>
      </c>
      <c r="O93">
        <f t="shared" si="31"/>
        <v>0.18287769855926819</v>
      </c>
      <c r="P93" s="10">
        <f t="shared" si="20"/>
        <v>1722.9840514403227</v>
      </c>
      <c r="Q93" s="10">
        <f t="shared" si="21"/>
        <v>4268.4368847551568</v>
      </c>
      <c r="R93" s="10">
        <f t="shared" si="22"/>
        <v>5991.42093619548</v>
      </c>
    </row>
    <row r="94" spans="3:18" x14ac:dyDescent="0.25">
      <c r="C94" s="1">
        <f t="shared" si="23"/>
        <v>44.5</v>
      </c>
      <c r="D94" s="10">
        <f t="shared" si="24"/>
        <v>-0.44500000000000001</v>
      </c>
      <c r="E94" s="10">
        <f t="shared" si="16"/>
        <v>0.41949969934641623</v>
      </c>
      <c r="F94" s="10">
        <f t="shared" si="25"/>
        <v>0.18741768189795838</v>
      </c>
      <c r="G94" s="8">
        <f t="shared" si="17"/>
        <v>0.174347369930971</v>
      </c>
      <c r="H94">
        <f t="shared" si="26"/>
        <v>2.1342703417801552</v>
      </c>
      <c r="I94">
        <f t="shared" si="27"/>
        <v>0.23216666115200713</v>
      </c>
      <c r="J94">
        <f t="shared" si="28"/>
        <v>9.987245344334492E-3</v>
      </c>
      <c r="K94" s="2">
        <f t="shared" si="29"/>
        <v>6.3773278327541177E-6</v>
      </c>
      <c r="L94" s="9">
        <f t="shared" si="18"/>
        <v>-1.477532096234258</v>
      </c>
      <c r="M94" s="2">
        <f t="shared" si="19"/>
        <v>-4.3162025711710917E-6</v>
      </c>
      <c r="N94" s="2">
        <f t="shared" si="30"/>
        <v>0.25360062824673085</v>
      </c>
      <c r="O94">
        <f t="shared" si="31"/>
        <v>0.18287769855926819</v>
      </c>
      <c r="P94" s="10">
        <f t="shared" si="20"/>
        <v>1722.9002562866117</v>
      </c>
      <c r="Q94" s="10">
        <f t="shared" si="21"/>
        <v>4268.5406835603108</v>
      </c>
      <c r="R94" s="10">
        <f t="shared" si="22"/>
        <v>5991.4409398469224</v>
      </c>
    </row>
    <row r="95" spans="3:18" x14ac:dyDescent="0.25">
      <c r="C95" s="1">
        <f t="shared" si="23"/>
        <v>45</v>
      </c>
      <c r="D95" s="10">
        <f t="shared" si="24"/>
        <v>-0.45</v>
      </c>
      <c r="E95" s="10">
        <f t="shared" si="16"/>
        <v>0.419506076674249</v>
      </c>
      <c r="F95" s="10">
        <f t="shared" si="25"/>
        <v>0.18741336569538722</v>
      </c>
      <c r="G95" s="8">
        <f t="shared" si="17"/>
        <v>0.1743436347453127</v>
      </c>
      <c r="H95">
        <f t="shared" si="26"/>
        <v>2.1343194948547106</v>
      </c>
      <c r="I95">
        <f t="shared" si="27"/>
        <v>0.23217735505182807</v>
      </c>
      <c r="J95">
        <f t="shared" si="28"/>
        <v>9.9879193492352428E-3</v>
      </c>
      <c r="K95" s="2">
        <f t="shared" si="29"/>
        <v>6.0403253823787181E-6</v>
      </c>
      <c r="L95" s="9">
        <f t="shared" si="18"/>
        <v>-1.4777032757546027</v>
      </c>
      <c r="M95" s="2">
        <f t="shared" si="19"/>
        <v>-4.0876443068681504E-6</v>
      </c>
      <c r="N95" s="2">
        <f t="shared" si="30"/>
        <v>0.25360062824673085</v>
      </c>
      <c r="O95">
        <f t="shared" si="31"/>
        <v>0.18287769855926819</v>
      </c>
      <c r="P95" s="10">
        <f t="shared" si="20"/>
        <v>1722.8209009044381</v>
      </c>
      <c r="Q95" s="10">
        <f t="shared" si="21"/>
        <v>4268.6389897094214</v>
      </c>
      <c r="R95" s="10">
        <f t="shared" si="22"/>
        <v>5991.4598906138599</v>
      </c>
    </row>
    <row r="96" spans="3:18" x14ac:dyDescent="0.25">
      <c r="C96" s="1">
        <f t="shared" si="23"/>
        <v>45.5</v>
      </c>
      <c r="D96" s="10">
        <f t="shared" si="24"/>
        <v>-0.45500000000000002</v>
      </c>
      <c r="E96" s="10">
        <f t="shared" si="16"/>
        <v>0.41951211699963137</v>
      </c>
      <c r="F96" s="10">
        <f t="shared" si="25"/>
        <v>0.18740927805108035</v>
      </c>
      <c r="G96" s="8">
        <f t="shared" si="17"/>
        <v>0.17434009733994654</v>
      </c>
      <c r="H96">
        <f t="shared" si="26"/>
        <v>2.1343660471867132</v>
      </c>
      <c r="I96">
        <f t="shared" si="27"/>
        <v>0.23218748335287639</v>
      </c>
      <c r="J96">
        <f t="shared" si="28"/>
        <v>9.9885577197481833E-3</v>
      </c>
      <c r="K96" s="2">
        <f t="shared" si="29"/>
        <v>5.7211401259084707E-6</v>
      </c>
      <c r="L96" s="9">
        <f t="shared" si="18"/>
        <v>-1.4778654052505473</v>
      </c>
      <c r="M96" s="2">
        <f t="shared" si="19"/>
        <v>-3.8712186546775192E-6</v>
      </c>
      <c r="N96" s="2">
        <f t="shared" si="30"/>
        <v>0.25360062824673085</v>
      </c>
      <c r="O96">
        <f t="shared" si="31"/>
        <v>0.18287769855926819</v>
      </c>
      <c r="P96" s="10">
        <f t="shared" si="20"/>
        <v>1722.7457493567115</v>
      </c>
      <c r="Q96" s="10">
        <f t="shared" si="21"/>
        <v>4268.7320943734267</v>
      </c>
      <c r="R96" s="10">
        <f t="shared" si="22"/>
        <v>5991.4778437301384</v>
      </c>
    </row>
    <row r="97" spans="3:18" x14ac:dyDescent="0.25">
      <c r="C97" s="1">
        <f t="shared" si="23"/>
        <v>46</v>
      </c>
      <c r="D97" s="10">
        <f t="shared" si="24"/>
        <v>-0.46</v>
      </c>
      <c r="E97" s="10">
        <f t="shared" si="16"/>
        <v>0.41951783813975729</v>
      </c>
      <c r="F97" s="10">
        <f t="shared" si="25"/>
        <v>0.18740540683242568</v>
      </c>
      <c r="G97" s="8">
        <f t="shared" si="17"/>
        <v>0.17433674721719372</v>
      </c>
      <c r="H97">
        <f t="shared" si="26"/>
        <v>2.1344101366172019</v>
      </c>
      <c r="I97">
        <f t="shared" si="27"/>
        <v>0.2321970760088819</v>
      </c>
      <c r="J97">
        <f t="shared" si="28"/>
        <v>9.9891623416435028E-3</v>
      </c>
      <c r="K97" s="2">
        <f t="shared" si="29"/>
        <v>5.4188291782487213E-6</v>
      </c>
      <c r="L97" s="9">
        <f t="shared" si="18"/>
        <v>-1.478018963631162</v>
      </c>
      <c r="M97" s="2">
        <f t="shared" si="19"/>
        <v>-3.6662785198207945E-6</v>
      </c>
      <c r="N97" s="2">
        <f t="shared" si="30"/>
        <v>0.25360062824673085</v>
      </c>
      <c r="O97">
        <f t="shared" si="31"/>
        <v>0.18287769855926819</v>
      </c>
      <c r="P97" s="10">
        <f t="shared" si="20"/>
        <v>1722.6745783168235</v>
      </c>
      <c r="Q97" s="10">
        <f t="shared" si="21"/>
        <v>4268.8202732344043</v>
      </c>
      <c r="R97" s="10">
        <f t="shared" si="22"/>
        <v>5991.4948515512278</v>
      </c>
    </row>
    <row r="98" spans="3:18" x14ac:dyDescent="0.25">
      <c r="C98" s="1">
        <f t="shared" si="23"/>
        <v>46.5</v>
      </c>
      <c r="D98" s="10">
        <f t="shared" si="24"/>
        <v>-0.46500000000000002</v>
      </c>
      <c r="E98" s="10">
        <f t="shared" si="16"/>
        <v>0.41952325696893555</v>
      </c>
      <c r="F98" s="10">
        <f t="shared" si="25"/>
        <v>0.18740174055390585</v>
      </c>
      <c r="G98" s="8">
        <f t="shared" si="17"/>
        <v>0.17433357443915337</v>
      </c>
      <c r="H98">
        <f t="shared" si="26"/>
        <v>2.1344518936575221</v>
      </c>
      <c r="I98">
        <f t="shared" si="27"/>
        <v>0.2322061613831897</v>
      </c>
      <c r="J98">
        <f t="shared" si="28"/>
        <v>9.9897350007113195E-3</v>
      </c>
      <c r="K98" s="2">
        <f t="shared" si="29"/>
        <v>5.1324996443403645E-6</v>
      </c>
      <c r="L98" s="9">
        <f t="shared" si="18"/>
        <v>-1.478164404416467</v>
      </c>
      <c r="M98" s="2">
        <f t="shared" si="19"/>
        <v>-3.472211635597134E-6</v>
      </c>
      <c r="N98" s="2">
        <f t="shared" si="30"/>
        <v>0.25360062824673085</v>
      </c>
      <c r="O98">
        <f t="shared" si="31"/>
        <v>0.18287769855926819</v>
      </c>
      <c r="P98" s="10">
        <f t="shared" si="20"/>
        <v>1722.6071763871701</v>
      </c>
      <c r="Q98" s="10">
        <f t="shared" si="21"/>
        <v>4268.9037873150446</v>
      </c>
      <c r="R98" s="10">
        <f t="shared" si="22"/>
        <v>5991.5109637022142</v>
      </c>
    </row>
    <row r="99" spans="3:18" x14ac:dyDescent="0.25">
      <c r="C99" s="1">
        <f t="shared" si="23"/>
        <v>47</v>
      </c>
      <c r="D99" s="10">
        <f t="shared" si="24"/>
        <v>-0.47000000000000003</v>
      </c>
      <c r="E99" s="10">
        <f t="shared" si="16"/>
        <v>0.4195283894685799</v>
      </c>
      <c r="F99" s="10">
        <f t="shared" si="25"/>
        <v>0.18739826834227025</v>
      </c>
      <c r="G99" s="8">
        <f t="shared" si="17"/>
        <v>0.17433056959758653</v>
      </c>
      <c r="H99">
        <f t="shared" si="26"/>
        <v>2.1344914418815604</v>
      </c>
      <c r="I99">
        <f t="shared" si="27"/>
        <v>0.23221476633361987</v>
      </c>
      <c r="J99">
        <f t="shared" si="28"/>
        <v>9.9902773880815691E-3</v>
      </c>
      <c r="K99" s="2">
        <f t="shared" si="29"/>
        <v>4.8613059592155297E-6</v>
      </c>
      <c r="L99" s="9">
        <f t="shared" si="18"/>
        <v>-1.4783021570881898</v>
      </c>
      <c r="M99" s="2">
        <f t="shared" si="19"/>
        <v>-3.2884386564048849E-6</v>
      </c>
      <c r="N99" s="2">
        <f t="shared" si="30"/>
        <v>0.25360062824673085</v>
      </c>
      <c r="O99">
        <f t="shared" si="31"/>
        <v>0.18287769855926819</v>
      </c>
      <c r="P99" s="10">
        <f t="shared" si="20"/>
        <v>1722.543343455279</v>
      </c>
      <c r="Q99" s="10">
        <f t="shared" si="21"/>
        <v>4268.9828837631203</v>
      </c>
      <c r="R99" s="10">
        <f t="shared" si="22"/>
        <v>5991.5262272183991</v>
      </c>
    </row>
    <row r="100" spans="3:18" x14ac:dyDescent="0.25">
      <c r="C100" s="1">
        <f t="shared" si="23"/>
        <v>47.5</v>
      </c>
      <c r="D100" s="10">
        <f t="shared" si="24"/>
        <v>-0.47500000000000003</v>
      </c>
      <c r="E100" s="10">
        <f t="shared" si="16"/>
        <v>0.41953325077453912</v>
      </c>
      <c r="F100" s="10">
        <f t="shared" si="25"/>
        <v>0.18739497990361384</v>
      </c>
      <c r="G100" s="8">
        <f t="shared" si="17"/>
        <v>0.1743277237854472</v>
      </c>
      <c r="H100">
        <f t="shared" si="26"/>
        <v>2.134528898296737</v>
      </c>
      <c r="I100">
        <f t="shared" si="27"/>
        <v>0.23222291629275643</v>
      </c>
      <c r="J100">
        <f t="shared" si="28"/>
        <v>9.9907911052588821E-3</v>
      </c>
      <c r="K100" s="2">
        <f t="shared" si="29"/>
        <v>4.6044473705590672E-6</v>
      </c>
      <c r="L100" s="9">
        <f t="shared" si="18"/>
        <v>-1.4784326283681639</v>
      </c>
      <c r="M100" s="2">
        <f t="shared" si="19"/>
        <v>-3.1144113584947567E-6</v>
      </c>
      <c r="N100" s="2">
        <f t="shared" si="30"/>
        <v>0.25360062824673085</v>
      </c>
      <c r="O100">
        <f t="shared" si="31"/>
        <v>0.18287769855926819</v>
      </c>
      <c r="P100" s="10">
        <f t="shared" si="20"/>
        <v>1722.4828900853697</v>
      </c>
      <c r="Q100" s="10">
        <f t="shared" si="21"/>
        <v>4269.0577965934744</v>
      </c>
      <c r="R100" s="10">
        <f t="shared" si="22"/>
        <v>5991.5406866788444</v>
      </c>
    </row>
    <row r="101" spans="3:18" x14ac:dyDescent="0.25">
      <c r="C101" s="1">
        <f t="shared" si="23"/>
        <v>48</v>
      </c>
      <c r="D101" s="10">
        <f t="shared" si="24"/>
        <v>-0.48</v>
      </c>
      <c r="E101" s="10">
        <f t="shared" si="16"/>
        <v>0.41953785522190967</v>
      </c>
      <c r="F101" s="10">
        <f t="shared" si="25"/>
        <v>0.18739186549225534</v>
      </c>
      <c r="G101" s="8">
        <f t="shared" si="17"/>
        <v>0.17432502856996848</v>
      </c>
      <c r="H101">
        <f t="shared" si="26"/>
        <v>2.1345643736949271</v>
      </c>
      <c r="I101">
        <f t="shared" si="27"/>
        <v>0.23223063534391522</v>
      </c>
      <c r="J101">
        <f t="shared" si="28"/>
        <v>9.9912776688878581E-3</v>
      </c>
      <c r="K101" s="2">
        <f t="shared" si="29"/>
        <v>4.3611655560710574E-6</v>
      </c>
      <c r="L101" s="9">
        <f t="shared" si="18"/>
        <v>-1.4785562034282957</v>
      </c>
      <c r="M101" s="2">
        <f t="shared" si="19"/>
        <v>-2.9496109420520631E-6</v>
      </c>
      <c r="N101" s="2">
        <f t="shared" si="30"/>
        <v>0.25360062824673085</v>
      </c>
      <c r="O101">
        <f t="shared" si="31"/>
        <v>0.18287769855926819</v>
      </c>
      <c r="P101" s="10">
        <f t="shared" si="20"/>
        <v>1722.4256369433419</v>
      </c>
      <c r="Q101" s="10">
        <f t="shared" si="21"/>
        <v>4269.1287473898547</v>
      </c>
      <c r="R101" s="10">
        <f t="shared" si="22"/>
        <v>5991.5543843331961</v>
      </c>
    </row>
    <row r="102" spans="3:18" x14ac:dyDescent="0.25">
      <c r="C102" s="1">
        <f t="shared" si="23"/>
        <v>48.5</v>
      </c>
      <c r="D102" s="10">
        <f t="shared" si="24"/>
        <v>-0.48499999999999999</v>
      </c>
      <c r="E102" s="10">
        <f t="shared" si="16"/>
        <v>0.41954221638746575</v>
      </c>
      <c r="F102" s="10">
        <f t="shared" si="25"/>
        <v>0.18738891588131329</v>
      </c>
      <c r="G102" s="8">
        <f t="shared" si="17"/>
        <v>0.17432247596721612</v>
      </c>
      <c r="H102">
        <f t="shared" si="26"/>
        <v>2.1345979729844236</v>
      </c>
      <c r="I102">
        <f t="shared" si="27"/>
        <v>0.23223794629302799</v>
      </c>
      <c r="J102">
        <f t="shared" si="28"/>
        <v>9.9917385152633893E-3</v>
      </c>
      <c r="K102" s="2">
        <f t="shared" si="29"/>
        <v>4.1307423683054761E-6</v>
      </c>
      <c r="L102" s="9">
        <f t="shared" si="18"/>
        <v>-1.478673247035815</v>
      </c>
      <c r="M102" s="2">
        <f t="shared" si="19"/>
        <v>-2.7935464285879686E-6</v>
      </c>
      <c r="N102" s="2">
        <f t="shared" si="30"/>
        <v>0.25360062824673085</v>
      </c>
      <c r="O102">
        <f t="shared" si="31"/>
        <v>0.18287769855926819</v>
      </c>
      <c r="P102" s="10">
        <f t="shared" si="20"/>
        <v>1722.3714142532801</v>
      </c>
      <c r="Q102" s="10">
        <f t="shared" si="21"/>
        <v>4269.1959459688469</v>
      </c>
      <c r="R102" s="10">
        <f t="shared" si="22"/>
        <v>5991.5673602221268</v>
      </c>
    </row>
    <row r="103" spans="3:18" x14ac:dyDescent="0.25">
      <c r="C103" s="1">
        <f t="shared" si="23"/>
        <v>49</v>
      </c>
      <c r="D103" s="10">
        <f t="shared" si="24"/>
        <v>-0.49</v>
      </c>
      <c r="E103" s="10">
        <f t="shared" si="16"/>
        <v>0.41954634712983407</v>
      </c>
      <c r="F103" s="10">
        <f t="shared" si="25"/>
        <v>0.18738612233488469</v>
      </c>
      <c r="G103" s="8">
        <f t="shared" si="17"/>
        <v>0.17432005841802686</v>
      </c>
      <c r="H103">
        <f t="shared" si="26"/>
        <v>2.134629795503987</v>
      </c>
      <c r="I103">
        <f t="shared" si="27"/>
        <v>0.2322448707366663</v>
      </c>
      <c r="J103">
        <f t="shared" si="28"/>
        <v>9.9921750045998698E-3</v>
      </c>
      <c r="K103" s="2">
        <f t="shared" si="29"/>
        <v>3.9124977000652011E-6</v>
      </c>
      <c r="L103" s="9">
        <f t="shared" si="18"/>
        <v>-1.4787841046372994</v>
      </c>
      <c r="M103" s="2">
        <f t="shared" si="19"/>
        <v>-2.6457531480058865E-6</v>
      </c>
      <c r="N103" s="2">
        <f t="shared" si="30"/>
        <v>0.25360062824673085</v>
      </c>
      <c r="O103">
        <f t="shared" si="31"/>
        <v>0.18287769855926819</v>
      </c>
      <c r="P103" s="10">
        <f t="shared" si="20"/>
        <v>1722.3200612836995</v>
      </c>
      <c r="Q103" s="10">
        <f t="shared" si="21"/>
        <v>4269.2595910079744</v>
      </c>
      <c r="R103" s="10">
        <f t="shared" si="22"/>
        <v>5991.5796522916735</v>
      </c>
    </row>
    <row r="104" spans="3:18" x14ac:dyDescent="0.25">
      <c r="C104" s="1">
        <f t="shared" si="23"/>
        <v>49.5</v>
      </c>
      <c r="D104" s="10">
        <f t="shared" si="24"/>
        <v>-0.495</v>
      </c>
      <c r="E104" s="10">
        <f t="shared" si="16"/>
        <v>0.41955025962753412</v>
      </c>
      <c r="F104" s="10">
        <f t="shared" si="25"/>
        <v>0.18738347658173668</v>
      </c>
      <c r="G104" s="8">
        <f t="shared" si="17"/>
        <v>0.17431776876525479</v>
      </c>
      <c r="H104">
        <f t="shared" si="26"/>
        <v>2.1346599353199638</v>
      </c>
      <c r="I104">
        <f t="shared" si="27"/>
        <v>0.23225142912641344</v>
      </c>
      <c r="J104">
        <f t="shared" si="28"/>
        <v>9.9925884250722206E-3</v>
      </c>
      <c r="K104" s="2">
        <f t="shared" si="29"/>
        <v>3.7057874638897828E-6</v>
      </c>
      <c r="L104" s="9">
        <f t="shared" si="18"/>
        <v>-1.4788891033847951</v>
      </c>
      <c r="M104" s="2">
        <f t="shared" si="19"/>
        <v>-2.505791310117975E-6</v>
      </c>
      <c r="N104" s="2">
        <f t="shared" si="30"/>
        <v>0.25360062824673085</v>
      </c>
      <c r="O104">
        <f t="shared" si="31"/>
        <v>0.18287769855926819</v>
      </c>
      <c r="P104" s="10">
        <f t="shared" si="20"/>
        <v>1722.2714258618475</v>
      </c>
      <c r="Q104" s="10">
        <f t="shared" si="21"/>
        <v>4269.3198706399271</v>
      </c>
      <c r="R104" s="10">
        <f t="shared" si="22"/>
        <v>5991.5912965017742</v>
      </c>
    </row>
    <row r="105" spans="3:18" x14ac:dyDescent="0.25">
      <c r="C105" s="1">
        <f t="shared" si="23"/>
        <v>50</v>
      </c>
      <c r="D105" s="10">
        <f t="shared" si="24"/>
        <v>-0.5</v>
      </c>
      <c r="E105" s="10">
        <f t="shared" si="16"/>
        <v>0.41955396541499801</v>
      </c>
      <c r="F105" s="10">
        <f t="shared" si="25"/>
        <v>0.18738097079042657</v>
      </c>
      <c r="G105" s="8">
        <f t="shared" si="17"/>
        <v>0.17431560023225243</v>
      </c>
      <c r="H105">
        <f t="shared" si="26"/>
        <v>2.1346884815074096</v>
      </c>
      <c r="I105">
        <f t="shared" si="27"/>
        <v>0.23225764082978645</v>
      </c>
      <c r="J105">
        <f t="shared" si="28"/>
        <v>9.9929799966411749E-3</v>
      </c>
      <c r="K105" s="2">
        <f t="shared" si="29"/>
        <v>3.5100016794126568E-6</v>
      </c>
      <c r="L105" s="9">
        <f t="shared" si="18"/>
        <v>-1.4789885531071518</v>
      </c>
      <c r="M105" s="2">
        <f t="shared" si="19"/>
        <v>-2.3732446556388995E-6</v>
      </c>
      <c r="N105" s="2">
        <f t="shared" si="30"/>
        <v>0.25360062824673085</v>
      </c>
      <c r="O105">
        <f t="shared" si="31"/>
        <v>0.18287769855926819</v>
      </c>
      <c r="P105" s="10">
        <f t="shared" si="20"/>
        <v>1722.2253639144901</v>
      </c>
      <c r="Q105" s="10">
        <f t="shared" si="21"/>
        <v>4269.376963014819</v>
      </c>
      <c r="R105" s="10">
        <f t="shared" si="22"/>
        <v>5991.6023269293091</v>
      </c>
    </row>
    <row r="106" spans="3:18" x14ac:dyDescent="0.25">
      <c r="C106" s="1">
        <f t="shared" si="23"/>
        <v>50.5</v>
      </c>
      <c r="D106" s="10">
        <f t="shared" si="24"/>
        <v>-0.505</v>
      </c>
      <c r="E106" s="10">
        <f t="shared" si="16"/>
        <v>0.41955747541667743</v>
      </c>
      <c r="F106" s="10">
        <f t="shared" si="25"/>
        <v>0.18737859754577094</v>
      </c>
      <c r="G106" s="8">
        <f t="shared" si="17"/>
        <v>0.17431354640251756</v>
      </c>
      <c r="H106">
        <f t="shared" si="26"/>
        <v>2.1347155184160886</v>
      </c>
      <c r="I106">
        <f t="shared" si="27"/>
        <v>0.23226352418789348</v>
      </c>
      <c r="J106">
        <f t="shared" si="28"/>
        <v>9.9933508746744316E-3</v>
      </c>
      <c r="K106" s="2">
        <f t="shared" si="29"/>
        <v>3.324562662784282E-6</v>
      </c>
      <c r="L106" s="9">
        <f t="shared" si="18"/>
        <v>-1.4790827472295329</v>
      </c>
      <c r="M106" s="2">
        <f t="shared" si="19"/>
        <v>-2.2477191820481403E-6</v>
      </c>
      <c r="N106" s="2">
        <f t="shared" si="30"/>
        <v>0.25360062824673085</v>
      </c>
      <c r="O106">
        <f t="shared" si="31"/>
        <v>0.18287769855926819</v>
      </c>
      <c r="P106" s="10">
        <f t="shared" si="20"/>
        <v>1722.1817390336905</v>
      </c>
      <c r="Q106" s="10">
        <f t="shared" si="21"/>
        <v>4269.4310368321776</v>
      </c>
      <c r="R106" s="10">
        <f t="shared" si="22"/>
        <v>5991.6127758658677</v>
      </c>
    </row>
    <row r="107" spans="3:18" x14ac:dyDescent="0.25">
      <c r="C107" s="1">
        <f t="shared" si="23"/>
        <v>51</v>
      </c>
      <c r="D107" s="10">
        <f t="shared" si="24"/>
        <v>-0.51</v>
      </c>
      <c r="E107" s="10">
        <f t="shared" si="16"/>
        <v>0.4195607999793402</v>
      </c>
      <c r="F107" s="10">
        <f t="shared" si="25"/>
        <v>0.18737634982658888</v>
      </c>
      <c r="G107" s="8">
        <f t="shared" si="17"/>
        <v>0.17431160120044212</v>
      </c>
      <c r="H107">
        <f t="shared" si="26"/>
        <v>2.1347411259221767</v>
      </c>
      <c r="I107">
        <f t="shared" si="27"/>
        <v>0.23226909657000419</v>
      </c>
      <c r="J107">
        <f t="shared" si="28"/>
        <v>9.9937021533745909E-3</v>
      </c>
      <c r="K107" s="2">
        <f t="shared" si="29"/>
        <v>3.1489233127046309E-6</v>
      </c>
      <c r="L107" s="9">
        <f t="shared" si="18"/>
        <v>-1.4791719636438883</v>
      </c>
      <c r="M107" s="2">
        <f t="shared" si="19"/>
        <v>-2.1288419400185013E-6</v>
      </c>
      <c r="N107" s="2">
        <f t="shared" si="30"/>
        <v>0.25360062824673085</v>
      </c>
      <c r="O107">
        <f t="shared" si="31"/>
        <v>0.18287769855926819</v>
      </c>
      <c r="P107" s="10">
        <f t="shared" si="20"/>
        <v>1722.1404220661911</v>
      </c>
      <c r="Q107" s="10">
        <f t="shared" si="21"/>
        <v>4269.4822518443534</v>
      </c>
      <c r="R107" s="10">
        <f t="shared" si="22"/>
        <v>5991.6226739105441</v>
      </c>
    </row>
    <row r="108" spans="3:18" x14ac:dyDescent="0.25">
      <c r="C108" s="1">
        <f t="shared" si="23"/>
        <v>51.5</v>
      </c>
      <c r="D108" s="10">
        <f t="shared" si="24"/>
        <v>-0.51500000000000001</v>
      </c>
      <c r="E108" s="10">
        <f t="shared" si="16"/>
        <v>0.41956394890265292</v>
      </c>
      <c r="F108" s="10">
        <f t="shared" si="25"/>
        <v>0.18737422098464887</v>
      </c>
      <c r="G108" s="8">
        <f t="shared" si="17"/>
        <v>0.17430975887310113</v>
      </c>
      <c r="H108">
        <f t="shared" si="26"/>
        <v>2.1347653796664541</v>
      </c>
      <c r="I108">
        <f t="shared" si="27"/>
        <v>0.23227437442520182</v>
      </c>
      <c r="J108">
        <f t="shared" si="28"/>
        <v>9.9940348690244311E-3</v>
      </c>
      <c r="K108" s="2">
        <f t="shared" si="29"/>
        <v>2.9825654877845345E-6</v>
      </c>
      <c r="L108" s="9">
        <f t="shared" si="18"/>
        <v>-1.47925646553302</v>
      </c>
      <c r="M108" s="2">
        <f t="shared" si="19"/>
        <v>-2.016259896291768E-6</v>
      </c>
      <c r="N108" s="2">
        <f t="shared" si="30"/>
        <v>0.25360062824673085</v>
      </c>
      <c r="O108">
        <f t="shared" si="31"/>
        <v>0.18287769855926819</v>
      </c>
      <c r="P108" s="10">
        <f t="shared" si="20"/>
        <v>1722.1012907250779</v>
      </c>
      <c r="Q108" s="10">
        <f t="shared" si="21"/>
        <v>4269.530759332908</v>
      </c>
      <c r="R108" s="10">
        <f t="shared" si="22"/>
        <v>5991.6320500579859</v>
      </c>
    </row>
    <row r="109" spans="3:18" x14ac:dyDescent="0.25">
      <c r="C109" s="1">
        <f t="shared" si="23"/>
        <v>52</v>
      </c>
      <c r="D109" s="10">
        <f t="shared" si="24"/>
        <v>-0.52</v>
      </c>
      <c r="E109" s="10">
        <f t="shared" si="16"/>
        <v>0.41956693146814072</v>
      </c>
      <c r="F109" s="10">
        <f t="shared" si="25"/>
        <v>0.18737220472475258</v>
      </c>
      <c r="G109" s="8">
        <f t="shared" si="17"/>
        <v>0.17430801397302509</v>
      </c>
      <c r="H109">
        <f t="shared" si="26"/>
        <v>2.1347883512797163</v>
      </c>
      <c r="I109">
        <f t="shared" si="27"/>
        <v>0.23227937333127263</v>
      </c>
      <c r="J109">
        <f t="shared" si="28"/>
        <v>9.9943500030591909E-3</v>
      </c>
      <c r="K109" s="2">
        <f t="shared" si="29"/>
        <v>2.8249984704046757E-6</v>
      </c>
      <c r="L109" s="9">
        <f t="shared" si="18"/>
        <v>-1.4793365021507658</v>
      </c>
      <c r="M109" s="2">
        <f t="shared" si="19"/>
        <v>-1.9096388592436473E-6</v>
      </c>
      <c r="N109" s="2">
        <f t="shared" si="30"/>
        <v>0.25360062824673085</v>
      </c>
      <c r="O109">
        <f t="shared" si="31"/>
        <v>0.18287769855926819</v>
      </c>
      <c r="P109" s="10">
        <f t="shared" si="20"/>
        <v>1722.0642292224854</v>
      </c>
      <c r="Q109" s="10">
        <f t="shared" si="21"/>
        <v>4269.5767025594332</v>
      </c>
      <c r="R109" s="10">
        <f t="shared" si="22"/>
        <v>5991.6409317819189</v>
      </c>
    </row>
    <row r="110" spans="3:18" x14ac:dyDescent="0.25">
      <c r="C110" s="1">
        <f t="shared" si="23"/>
        <v>52.5</v>
      </c>
      <c r="D110" s="10">
        <f t="shared" si="24"/>
        <v>-0.52500000000000002</v>
      </c>
      <c r="E110" s="10">
        <f t="shared" si="16"/>
        <v>0.41956975646661115</v>
      </c>
      <c r="F110" s="10">
        <f t="shared" si="25"/>
        <v>0.18737029508589334</v>
      </c>
      <c r="G110" s="8">
        <f t="shared" si="17"/>
        <v>0.17430636134190117</v>
      </c>
      <c r="H110">
        <f t="shared" si="26"/>
        <v>2.134810108596104</v>
      </c>
      <c r="I110">
        <f t="shared" si="27"/>
        <v>0.23228410804098412</v>
      </c>
      <c r="J110">
        <f t="shared" si="28"/>
        <v>9.9946484849752493E-3</v>
      </c>
      <c r="K110" s="2">
        <f t="shared" si="29"/>
        <v>2.6757575123754693E-6</v>
      </c>
      <c r="L110" s="9">
        <f t="shared" si="18"/>
        <v>-1.4794123095606122</v>
      </c>
      <c r="M110" s="2">
        <f t="shared" si="19"/>
        <v>-1.8086624635225412E-6</v>
      </c>
      <c r="N110" s="2">
        <f t="shared" si="30"/>
        <v>0.25360062824673085</v>
      </c>
      <c r="O110">
        <f t="shared" si="31"/>
        <v>0.18287769855926819</v>
      </c>
      <c r="P110" s="10">
        <f t="shared" si="20"/>
        <v>1722.0291279221915</v>
      </c>
      <c r="Q110" s="10">
        <f t="shared" si="21"/>
        <v>4269.6202171922077</v>
      </c>
      <c r="R110" s="10">
        <f t="shared" si="22"/>
        <v>5991.6493451143997</v>
      </c>
    </row>
    <row r="111" spans="3:18" x14ac:dyDescent="0.25">
      <c r="C111" s="1">
        <f t="shared" si="23"/>
        <v>53</v>
      </c>
      <c r="D111" s="10">
        <f t="shared" si="24"/>
        <v>-0.53</v>
      </c>
      <c r="E111" s="10">
        <f t="shared" si="16"/>
        <v>0.41957243222412355</v>
      </c>
      <c r="F111" s="10">
        <f t="shared" si="25"/>
        <v>0.18736848642342982</v>
      </c>
      <c r="G111" s="8">
        <f t="shared" si="17"/>
        <v>0.17430479609515251</v>
      </c>
      <c r="H111">
        <f t="shared" si="26"/>
        <v>2.1348307158550077</v>
      </c>
      <c r="I111">
        <f t="shared" si="27"/>
        <v>0.23228859252589218</v>
      </c>
      <c r="J111">
        <f t="shared" si="28"/>
        <v>9.9949311950839753E-3</v>
      </c>
      <c r="K111" s="2">
        <f t="shared" si="29"/>
        <v>2.5344024580124455E-6</v>
      </c>
      <c r="L111" s="9">
        <f t="shared" si="18"/>
        <v>-1.4794841113350139</v>
      </c>
      <c r="M111" s="2">
        <f t="shared" si="19"/>
        <v>-1.7130312104031486E-6</v>
      </c>
      <c r="N111" s="2">
        <f t="shared" si="30"/>
        <v>0.25360062824673085</v>
      </c>
      <c r="O111">
        <f t="shared" si="31"/>
        <v>0.18287769855926819</v>
      </c>
      <c r="P111" s="10">
        <f t="shared" si="20"/>
        <v>1721.9958830109736</v>
      </c>
      <c r="Q111" s="10">
        <f t="shared" si="21"/>
        <v>4269.6614317100157</v>
      </c>
      <c r="R111" s="10">
        <f t="shared" si="22"/>
        <v>5991.6573147209892</v>
      </c>
    </row>
    <row r="112" spans="3:18" x14ac:dyDescent="0.25">
      <c r="C112" s="1">
        <f t="shared" si="23"/>
        <v>53.5</v>
      </c>
      <c r="D112" s="10">
        <f t="shared" si="24"/>
        <v>-0.53500000000000003</v>
      </c>
      <c r="E112" s="10">
        <f t="shared" si="16"/>
        <v>0.41957496662658156</v>
      </c>
      <c r="F112" s="10">
        <f t="shared" si="25"/>
        <v>0.18736677339221941</v>
      </c>
      <c r="G112" s="8">
        <f t="shared" si="17"/>
        <v>0.1743033136073471</v>
      </c>
      <c r="H112">
        <f t="shared" si="26"/>
        <v>2.1348502338921658</v>
      </c>
      <c r="I112">
        <f t="shared" si="27"/>
        <v>0.23229284001781014</v>
      </c>
      <c r="J112">
        <f t="shared" si="28"/>
        <v>9.9951989671190067E-3</v>
      </c>
      <c r="K112" s="2">
        <f t="shared" si="29"/>
        <v>2.4005164404967624E-6</v>
      </c>
      <c r="L112" s="9">
        <f t="shared" si="18"/>
        <v>-1.4795521192174865</v>
      </c>
      <c r="M112" s="2">
        <f t="shared" si="19"/>
        <v>-1.622461560709575E-6</v>
      </c>
      <c r="N112" s="2">
        <f t="shared" si="30"/>
        <v>0.25360062824673085</v>
      </c>
      <c r="O112">
        <f t="shared" si="31"/>
        <v>0.18287769855926819</v>
      </c>
      <c r="P112" s="10">
        <f t="shared" si="20"/>
        <v>1721.9643961877241</v>
      </c>
      <c r="Q112" s="10">
        <f t="shared" si="21"/>
        <v>4269.7004677843324</v>
      </c>
      <c r="R112" s="10">
        <f t="shared" si="22"/>
        <v>5991.664863972057</v>
      </c>
    </row>
    <row r="113" spans="3:18" x14ac:dyDescent="0.25">
      <c r="C113" s="1">
        <f t="shared" si="23"/>
        <v>54</v>
      </c>
      <c r="D113" s="10">
        <f t="shared" si="24"/>
        <v>-0.54</v>
      </c>
      <c r="E113" s="10">
        <f t="shared" si="16"/>
        <v>0.41957736714302207</v>
      </c>
      <c r="F113" s="10">
        <f t="shared" si="25"/>
        <v>0.1873651509306587</v>
      </c>
      <c r="G113" s="8">
        <f t="shared" si="17"/>
        <v>0.17430190949839142</v>
      </c>
      <c r="H113">
        <f t="shared" si="26"/>
        <v>2.1348687203205392</v>
      </c>
      <c r="I113">
        <f t="shared" si="27"/>
        <v>0.23229686304806607</v>
      </c>
      <c r="J113">
        <f t="shared" si="28"/>
        <v>9.9954525907048307E-3</v>
      </c>
      <c r="K113" s="2">
        <f t="shared" si="29"/>
        <v>2.273704647584758E-6</v>
      </c>
      <c r="L113" s="9">
        <f t="shared" si="18"/>
        <v>-1.4796165337495011</v>
      </c>
      <c r="M113" s="2">
        <f t="shared" si="19"/>
        <v>-1.5366850773307835E-6</v>
      </c>
      <c r="N113" s="2">
        <f t="shared" si="30"/>
        <v>0.25360062824673085</v>
      </c>
      <c r="O113">
        <f t="shared" si="31"/>
        <v>0.18287769855926819</v>
      </c>
      <c r="P113" s="10">
        <f t="shared" si="20"/>
        <v>1721.9345743693207</v>
      </c>
      <c r="Q113" s="10">
        <f t="shared" si="21"/>
        <v>4269.7374406410781</v>
      </c>
      <c r="R113" s="10">
        <f t="shared" si="22"/>
        <v>5991.6720150103993</v>
      </c>
    </row>
    <row r="114" spans="3:18" x14ac:dyDescent="0.25">
      <c r="C114" s="1">
        <f t="shared" si="23"/>
        <v>54.5</v>
      </c>
      <c r="D114" s="10">
        <f t="shared" si="24"/>
        <v>-0.54500000000000004</v>
      </c>
      <c r="E114" s="10">
        <f t="shared" si="16"/>
        <v>0.41957964084766963</v>
      </c>
      <c r="F114" s="10">
        <f t="shared" si="25"/>
        <v>0.18736361424558137</v>
      </c>
      <c r="G114" s="8">
        <f t="shared" si="17"/>
        <v>0.17430057962046533</v>
      </c>
      <c r="H114">
        <f t="shared" si="26"/>
        <v>2.1348862297015243</v>
      </c>
      <c r="I114">
        <f t="shared" si="27"/>
        <v>0.23230067348466818</v>
      </c>
      <c r="J114">
        <f t="shared" si="28"/>
        <v>9.9956928136941559E-3</v>
      </c>
      <c r="K114" s="2">
        <f t="shared" si="29"/>
        <v>2.1535931529221425E-6</v>
      </c>
      <c r="L114" s="9">
        <f t="shared" si="18"/>
        <v>-1.4796775448640398</v>
      </c>
      <c r="M114" s="2">
        <f t="shared" si="19"/>
        <v>-1.4554476145138943E-6</v>
      </c>
      <c r="N114" s="2">
        <f t="shared" si="30"/>
        <v>0.25360062824673085</v>
      </c>
      <c r="O114">
        <f t="shared" si="31"/>
        <v>0.18287769855926819</v>
      </c>
      <c r="P114" s="10">
        <f t="shared" si="20"/>
        <v>1721.9063294123428</v>
      </c>
      <c r="Q114" s="10">
        <f t="shared" si="21"/>
        <v>4269.7724594030487</v>
      </c>
      <c r="R114" s="10">
        <f t="shared" si="22"/>
        <v>5991.6787888153913</v>
      </c>
    </row>
    <row r="115" spans="3:18" x14ac:dyDescent="0.25">
      <c r="C115" s="1">
        <f t="shared" si="23"/>
        <v>55</v>
      </c>
      <c r="D115" s="10">
        <f t="shared" si="24"/>
        <v>-0.55000000000000004</v>
      </c>
      <c r="E115" s="10">
        <f t="shared" si="16"/>
        <v>0.41958179444082255</v>
      </c>
      <c r="F115" s="10">
        <f t="shared" si="25"/>
        <v>0.18736215879796686</v>
      </c>
      <c r="G115" s="8">
        <f t="shared" si="17"/>
        <v>0.17429932004565796</v>
      </c>
      <c r="H115">
        <f t="shared" si="26"/>
        <v>2.134902813707015</v>
      </c>
      <c r="I115">
        <f t="shared" si="27"/>
        <v>0.23230428256748875</v>
      </c>
      <c r="J115">
        <f t="shared" si="28"/>
        <v>9.9959203443809892E-3</v>
      </c>
      <c r="K115" s="2">
        <f t="shared" si="29"/>
        <v>2.0398278095055261E-6</v>
      </c>
      <c r="L115" s="9">
        <f t="shared" si="18"/>
        <v>-1.4797353324476061</v>
      </c>
      <c r="M115" s="2">
        <f t="shared" si="19"/>
        <v>-1.3785085513444354E-6</v>
      </c>
      <c r="N115" s="2">
        <f t="shared" si="30"/>
        <v>0.25360062824673085</v>
      </c>
      <c r="O115">
        <f t="shared" si="31"/>
        <v>0.18287769855926819</v>
      </c>
      <c r="P115" s="10">
        <f t="shared" si="20"/>
        <v>1721.8795778497647</v>
      </c>
      <c r="Q115" s="10">
        <f t="shared" si="21"/>
        <v>4269.805627414029</v>
      </c>
      <c r="R115" s="10">
        <f t="shared" si="22"/>
        <v>5991.6852052637933</v>
      </c>
    </row>
    <row r="116" spans="3:18" x14ac:dyDescent="0.25">
      <c r="C116" s="1">
        <f t="shared" si="23"/>
        <v>55.5</v>
      </c>
      <c r="D116" s="10">
        <f t="shared" si="24"/>
        <v>-0.55500000000000005</v>
      </c>
      <c r="E116" s="10">
        <f t="shared" si="16"/>
        <v>0.41958383426863205</v>
      </c>
      <c r="F116" s="10">
        <f t="shared" si="25"/>
        <v>0.18736078028941552</v>
      </c>
      <c r="G116" s="8">
        <f t="shared" si="17"/>
        <v>0.17429812705426703</v>
      </c>
      <c r="H116">
        <f t="shared" si="26"/>
        <v>2.1349185212728163</v>
      </c>
      <c r="I116">
        <f t="shared" si="27"/>
        <v>0.23230770094157538</v>
      </c>
      <c r="J116">
        <f t="shared" si="28"/>
        <v>9.9961358535961484E-3</v>
      </c>
      <c r="K116" s="2">
        <f t="shared" si="29"/>
        <v>1.9320732019259199E-6</v>
      </c>
      <c r="L116" s="9">
        <f t="shared" si="18"/>
        <v>-1.4797900668723782</v>
      </c>
      <c r="M116" s="2">
        <f t="shared" si="19"/>
        <v>-1.3056400669112939E-6</v>
      </c>
      <c r="N116" s="2">
        <f t="shared" si="30"/>
        <v>0.25360062824673085</v>
      </c>
      <c r="O116">
        <f t="shared" si="31"/>
        <v>0.18287769855926819</v>
      </c>
      <c r="P116" s="10">
        <f t="shared" si="20"/>
        <v>1721.854240641806</v>
      </c>
      <c r="Q116" s="10">
        <f t="shared" si="21"/>
        <v>4269.8370425456333</v>
      </c>
      <c r="R116" s="10">
        <f t="shared" si="22"/>
        <v>5991.6912831874397</v>
      </c>
    </row>
    <row r="117" spans="3:18" x14ac:dyDescent="0.25">
      <c r="C117" s="1">
        <f t="shared" si="23"/>
        <v>56</v>
      </c>
      <c r="D117" s="10">
        <f t="shared" si="24"/>
        <v>-0.56000000000000005</v>
      </c>
      <c r="E117" s="10">
        <f t="shared" si="16"/>
        <v>0.41958576634183398</v>
      </c>
      <c r="F117" s="10">
        <f t="shared" si="25"/>
        <v>0.1873594746493486</v>
      </c>
      <c r="G117" s="8">
        <f t="shared" si="17"/>
        <v>0.17429699712372457</v>
      </c>
      <c r="H117">
        <f t="shared" si="26"/>
        <v>2.1349333987438714</v>
      </c>
      <c r="I117">
        <f t="shared" si="27"/>
        <v>0.23231093868868799</v>
      </c>
      <c r="J117">
        <f t="shared" si="28"/>
        <v>9.9963399766914342E-3</v>
      </c>
      <c r="K117" s="2">
        <f t="shared" si="29"/>
        <v>1.8300116542829814E-6</v>
      </c>
      <c r="L117" s="9">
        <f t="shared" si="18"/>
        <v>-1.4798419095000988</v>
      </c>
      <c r="M117" s="2">
        <f t="shared" si="19"/>
        <v>-1.2366264548496079E-6</v>
      </c>
      <c r="N117" s="2">
        <f t="shared" si="30"/>
        <v>0.25360062824673085</v>
      </c>
      <c r="O117">
        <f t="shared" si="31"/>
        <v>0.18287769855926819</v>
      </c>
      <c r="P117" s="10">
        <f t="shared" si="20"/>
        <v>1721.830242940159</v>
      </c>
      <c r="Q117" s="10">
        <f t="shared" si="21"/>
        <v>4269.8667974877435</v>
      </c>
      <c r="R117" s="10">
        <f t="shared" si="22"/>
        <v>5991.6970404279027</v>
      </c>
    </row>
    <row r="118" spans="3:18" x14ac:dyDescent="0.25">
      <c r="C118" s="1">
        <f t="shared" si="23"/>
        <v>56.5</v>
      </c>
      <c r="D118" s="10">
        <f t="shared" si="24"/>
        <v>-0.56500000000000006</v>
      </c>
      <c r="E118" s="10">
        <f t="shared" si="16"/>
        <v>0.41958759635348825</v>
      </c>
      <c r="F118" s="10">
        <f t="shared" si="25"/>
        <v>0.18735823802289375</v>
      </c>
      <c r="G118" s="8">
        <f t="shared" si="17"/>
        <v>0.17429592691811568</v>
      </c>
      <c r="H118">
        <f t="shared" si="26"/>
        <v>2.1349474900117444</v>
      </c>
      <c r="I118">
        <f t="shared" si="27"/>
        <v>0.23231400535715838</v>
      </c>
      <c r="J118">
        <f t="shared" si="28"/>
        <v>9.9965333154184779E-3</v>
      </c>
      <c r="K118" s="2">
        <f t="shared" si="29"/>
        <v>1.7333422907611293E-6</v>
      </c>
      <c r="L118" s="9">
        <f t="shared" si="18"/>
        <v>-1.479891013159202</v>
      </c>
      <c r="M118" s="2">
        <f t="shared" si="19"/>
        <v>-1.1712634750452814E-6</v>
      </c>
      <c r="N118" s="2">
        <f t="shared" si="30"/>
        <v>0.25360062824673085</v>
      </c>
      <c r="O118">
        <f t="shared" si="31"/>
        <v>0.18287769855926819</v>
      </c>
      <c r="P118" s="10">
        <f t="shared" si="20"/>
        <v>1721.8075138648742</v>
      </c>
      <c r="Q118" s="10">
        <f t="shared" si="21"/>
        <v>4269.8949800234886</v>
      </c>
      <c r="R118" s="10">
        <f t="shared" si="22"/>
        <v>5991.7024938883624</v>
      </c>
    </row>
    <row r="119" spans="3:18" x14ac:dyDescent="0.25">
      <c r="C119" s="1">
        <f t="shared" si="23"/>
        <v>57</v>
      </c>
      <c r="D119" s="10">
        <f t="shared" si="24"/>
        <v>-0.57000000000000006</v>
      </c>
      <c r="E119" s="10">
        <f t="shared" si="16"/>
        <v>0.419589329695779</v>
      </c>
      <c r="F119" s="10">
        <f t="shared" si="25"/>
        <v>0.18735706675941871</v>
      </c>
      <c r="G119" s="8">
        <f t="shared" si="17"/>
        <v>0.17429491327825802</v>
      </c>
      <c r="H119">
        <f t="shared" si="26"/>
        <v>2.1349608366447774</v>
      </c>
      <c r="I119">
        <f t="shared" si="27"/>
        <v>0.23231690999016144</v>
      </c>
      <c r="J119">
        <f t="shared" si="28"/>
        <v>9.9967164397078197E-3</v>
      </c>
      <c r="K119" s="2">
        <f t="shared" si="29"/>
        <v>1.6417801460902326E-6</v>
      </c>
      <c r="L119" s="9">
        <f t="shared" si="18"/>
        <v>-1.4799375225966234</v>
      </c>
      <c r="M119" s="2">
        <f t="shared" si="19"/>
        <v>-1.1093577404603191E-6</v>
      </c>
      <c r="N119" s="2">
        <f t="shared" si="30"/>
        <v>0.25360062824673085</v>
      </c>
      <c r="O119">
        <f t="shared" si="31"/>
        <v>0.18287769855926819</v>
      </c>
      <c r="P119" s="10">
        <f t="shared" si="20"/>
        <v>1721.7859862932053</v>
      </c>
      <c r="Q119" s="10">
        <f t="shared" si="21"/>
        <v>4269.9216732895538</v>
      </c>
      <c r="R119" s="10">
        <f t="shared" si="22"/>
        <v>5991.7076595827593</v>
      </c>
    </row>
    <row r="120" spans="3:18" x14ac:dyDescent="0.25">
      <c r="C120" s="1">
        <f t="shared" si="23"/>
        <v>57.5</v>
      </c>
      <c r="D120" s="10">
        <f t="shared" si="24"/>
        <v>-0.57500000000000007</v>
      </c>
      <c r="E120" s="10">
        <f t="shared" si="16"/>
        <v>0.41959097147592511</v>
      </c>
      <c r="F120" s="10">
        <f t="shared" si="25"/>
        <v>0.18735595740167826</v>
      </c>
      <c r="G120" s="8">
        <f t="shared" si="17"/>
        <v>0.17429395321231189</v>
      </c>
      <c r="H120">
        <f t="shared" si="26"/>
        <v>2.1349734780113105</v>
      </c>
      <c r="I120">
        <f t="shared" si="27"/>
        <v>0.23231966115248276</v>
      </c>
      <c r="J120">
        <f t="shared" si="28"/>
        <v>9.9968898893535458E-3</v>
      </c>
      <c r="K120" s="2">
        <f t="shared" si="29"/>
        <v>1.5550553232272085E-6</v>
      </c>
      <c r="L120" s="9">
        <f t="shared" si="18"/>
        <v>-1.4799815749056262</v>
      </c>
      <c r="M120" s="2">
        <f t="shared" si="19"/>
        <v>-1.0507261371320582E-6</v>
      </c>
      <c r="N120" s="2">
        <f t="shared" si="30"/>
        <v>0.25360062824673085</v>
      </c>
      <c r="O120">
        <f t="shared" si="31"/>
        <v>0.18287769855926819</v>
      </c>
      <c r="P120" s="10">
        <f t="shared" si="20"/>
        <v>1721.7655966597695</v>
      </c>
      <c r="Q120" s="10">
        <f t="shared" si="21"/>
        <v>4269.9469560226207</v>
      </c>
      <c r="R120" s="10">
        <f t="shared" si="22"/>
        <v>5991.7125526823902</v>
      </c>
    </row>
    <row r="121" spans="3:18" x14ac:dyDescent="0.25">
      <c r="C121" s="1">
        <f t="shared" si="23"/>
        <v>58</v>
      </c>
      <c r="D121" s="10">
        <f t="shared" si="24"/>
        <v>-0.57999999999999996</v>
      </c>
      <c r="E121" s="10">
        <f t="shared" si="16"/>
        <v>0.41959252653124834</v>
      </c>
      <c r="F121" s="10">
        <f t="shared" si="25"/>
        <v>0.18735490667554114</v>
      </c>
      <c r="G121" s="8">
        <f t="shared" si="17"/>
        <v>0.17429304388689132</v>
      </c>
      <c r="H121">
        <f t="shared" si="26"/>
        <v>2.1349854513963433</v>
      </c>
      <c r="I121">
        <f t="shared" si="27"/>
        <v>0.23232226695586378</v>
      </c>
      <c r="J121">
        <f t="shared" si="28"/>
        <v>9.9970541756085919E-3</v>
      </c>
      <c r="K121" s="2">
        <f t="shared" si="29"/>
        <v>1.4729121957041472E-6</v>
      </c>
      <c r="L121" s="9">
        <f t="shared" si="18"/>
        <v>-1.4800232999309335</v>
      </c>
      <c r="M121" s="2">
        <f t="shared" si="19"/>
        <v>-9.9519527548848848E-7</v>
      </c>
      <c r="N121" s="2">
        <f t="shared" si="30"/>
        <v>0.25360062824673085</v>
      </c>
      <c r="O121">
        <f t="shared" si="31"/>
        <v>0.18287769855926819</v>
      </c>
      <c r="P121" s="10">
        <f t="shared" si="20"/>
        <v>1721.746284767406</v>
      </c>
      <c r="Q121" s="10">
        <f t="shared" si="21"/>
        <v>4269.9709027926856</v>
      </c>
      <c r="R121" s="10">
        <f t="shared" si="22"/>
        <v>5991.7171875600916</v>
      </c>
    </row>
    <row r="122" spans="3:18" x14ac:dyDescent="0.25">
      <c r="C122" s="1">
        <f t="shared" si="23"/>
        <v>58.5</v>
      </c>
      <c r="D122" s="10">
        <f t="shared" si="24"/>
        <v>-0.58499999999999996</v>
      </c>
      <c r="E122" s="10">
        <f t="shared" si="16"/>
        <v>0.41959399944344405</v>
      </c>
      <c r="F122" s="10">
        <f t="shared" si="25"/>
        <v>0.18735391148026564</v>
      </c>
      <c r="G122" s="8">
        <f t="shared" si="17"/>
        <v>0.17429218261865081</v>
      </c>
      <c r="H122">
        <f t="shared" si="26"/>
        <v>2.1349967921119855</v>
      </c>
      <c r="I122">
        <f t="shared" si="27"/>
        <v>0.23232473508300039</v>
      </c>
      <c r="J122">
        <f t="shared" si="28"/>
        <v>9.9972097826953651E-3</v>
      </c>
      <c r="K122" s="2">
        <f t="shared" si="29"/>
        <v>1.3951086523175671E-6</v>
      </c>
      <c r="L122" s="9">
        <f t="shared" si="18"/>
        <v>-1.4800628206523632</v>
      </c>
      <c r="M122" s="2">
        <f t="shared" si="19"/>
        <v>-9.4260097129029218E-7</v>
      </c>
      <c r="N122" s="2">
        <f t="shared" si="30"/>
        <v>0.25360062824673085</v>
      </c>
      <c r="O122">
        <f t="shared" si="31"/>
        <v>0.18287769855926819</v>
      </c>
      <c r="P122" s="10">
        <f t="shared" si="20"/>
        <v>1721.7279936081532</v>
      </c>
      <c r="Q122" s="10">
        <f t="shared" si="21"/>
        <v>4269.9935842239702</v>
      </c>
      <c r="R122" s="10">
        <f t="shared" si="22"/>
        <v>5991.7215778321233</v>
      </c>
    </row>
    <row r="123" spans="3:18" x14ac:dyDescent="0.25">
      <c r="C123" s="1">
        <f t="shared" si="23"/>
        <v>59</v>
      </c>
      <c r="D123" s="10">
        <f t="shared" si="24"/>
        <v>-0.59</v>
      </c>
      <c r="E123" s="10">
        <f t="shared" si="16"/>
        <v>0.41959539455209638</v>
      </c>
      <c r="F123" s="10">
        <f t="shared" si="25"/>
        <v>0.18735296887929437</v>
      </c>
      <c r="G123" s="8">
        <f t="shared" si="17"/>
        <v>0.17429136686632021</v>
      </c>
      <c r="H123">
        <f t="shared" si="26"/>
        <v>2.1350075336020291</v>
      </c>
      <c r="I123">
        <f t="shared" si="27"/>
        <v>0.23232707281026604</v>
      </c>
      <c r="J123">
        <f t="shared" si="28"/>
        <v>9.9973571692362692E-3</v>
      </c>
      <c r="K123" s="2">
        <f t="shared" si="29"/>
        <v>1.321415381865497E-6</v>
      </c>
      <c r="L123" s="9">
        <f t="shared" si="18"/>
        <v>-1.4801002535481258</v>
      </c>
      <c r="M123" s="2">
        <f t="shared" si="19"/>
        <v>-8.927877545441761E-7</v>
      </c>
      <c r="N123" s="2">
        <f t="shared" si="30"/>
        <v>0.25360062824673085</v>
      </c>
      <c r="O123">
        <f t="shared" si="31"/>
        <v>0.18287769855926819</v>
      </c>
      <c r="P123" s="10">
        <f t="shared" si="20"/>
        <v>1721.7106691938009</v>
      </c>
      <c r="Q123" s="10">
        <f t="shared" si="21"/>
        <v>4270.0150672040581</v>
      </c>
      <c r="R123" s="10">
        <f t="shared" si="22"/>
        <v>5991.7257363978588</v>
      </c>
    </row>
    <row r="124" spans="3:18" x14ac:dyDescent="0.25">
      <c r="C124" s="1">
        <f t="shared" si="23"/>
        <v>59.5</v>
      </c>
      <c r="D124" s="10">
        <f t="shared" si="24"/>
        <v>-0.59499999999999997</v>
      </c>
      <c r="E124" s="10">
        <f t="shared" si="16"/>
        <v>0.41959671596747822</v>
      </c>
      <c r="F124" s="10">
        <f t="shared" si="25"/>
        <v>0.18735207609153984</v>
      </c>
      <c r="G124" s="8">
        <f t="shared" si="17"/>
        <v>0.17429059422316462</v>
      </c>
      <c r="H124">
        <f t="shared" si="26"/>
        <v>2.1350177075409662</v>
      </c>
      <c r="I124">
        <f t="shared" si="27"/>
        <v>0.23232928702922948</v>
      </c>
      <c r="J124">
        <f t="shared" si="28"/>
        <v>9.9974967696084254E-3</v>
      </c>
      <c r="K124" s="2">
        <f t="shared" si="29"/>
        <v>1.2516151957873978E-6</v>
      </c>
      <c r="L124" s="9">
        <f t="shared" si="18"/>
        <v>-1.4801357089388625</v>
      </c>
      <c r="M124" s="2">
        <f t="shared" si="19"/>
        <v>-8.4560840484329954E-7</v>
      </c>
      <c r="N124" s="2">
        <f t="shared" si="30"/>
        <v>0.25360062824673085</v>
      </c>
      <c r="O124">
        <f t="shared" si="31"/>
        <v>0.18287769855926819</v>
      </c>
      <c r="P124" s="10">
        <f t="shared" si="20"/>
        <v>1721.6942603954867</v>
      </c>
      <c r="Q124" s="10">
        <f t="shared" si="21"/>
        <v>4270.035415081933</v>
      </c>
      <c r="R124" s="10">
        <f t="shared" si="22"/>
        <v>5991.7296754774197</v>
      </c>
    </row>
    <row r="125" spans="3:18" x14ac:dyDescent="0.25">
      <c r="C125" s="1">
        <f t="shared" si="23"/>
        <v>60</v>
      </c>
      <c r="D125" s="10">
        <f t="shared" si="24"/>
        <v>-0.6</v>
      </c>
      <c r="E125" s="10">
        <f t="shared" si="16"/>
        <v>0.41959796758267398</v>
      </c>
      <c r="F125" s="10">
        <f t="shared" si="25"/>
        <v>0.18735123048313498</v>
      </c>
      <c r="G125" s="8">
        <f t="shared" si="17"/>
        <v>0.17428986240984656</v>
      </c>
      <c r="H125">
        <f t="shared" si="26"/>
        <v>2.1350273439277321</v>
      </c>
      <c r="I125">
        <f t="shared" si="27"/>
        <v>0.23233138426702887</v>
      </c>
      <c r="J125">
        <f t="shared" si="28"/>
        <v>9.9976289952264843E-3</v>
      </c>
      <c r="K125" s="2">
        <f t="shared" si="29"/>
        <v>1.1855023867579639E-6</v>
      </c>
      <c r="L125" s="9">
        <f t="shared" si="18"/>
        <v>-1.4801692913134388</v>
      </c>
      <c r="M125" s="2">
        <f t="shared" si="19"/>
        <v>-8.0092351173290455E-7</v>
      </c>
      <c r="N125" s="2">
        <f t="shared" si="30"/>
        <v>0.25360062824673085</v>
      </c>
      <c r="O125">
        <f t="shared" si="31"/>
        <v>0.18287769855926819</v>
      </c>
      <c r="P125" s="10">
        <f t="shared" si="20"/>
        <v>1721.6787187918708</v>
      </c>
      <c r="Q125" s="10">
        <f t="shared" si="21"/>
        <v>4270.0546878554651</v>
      </c>
      <c r="R125" s="10">
        <f t="shared" si="22"/>
        <v>5991.7334066473359</v>
      </c>
    </row>
    <row r="126" spans="3:18" x14ac:dyDescent="0.25">
      <c r="C126" s="1">
        <f t="shared" si="23"/>
        <v>60.5</v>
      </c>
      <c r="D126" s="10">
        <f t="shared" si="24"/>
        <v>-0.60499999999999998</v>
      </c>
      <c r="E126" s="10">
        <f t="shared" si="16"/>
        <v>0.41959915308506074</v>
      </c>
      <c r="F126" s="10">
        <f t="shared" si="25"/>
        <v>0.18735042955962325</v>
      </c>
      <c r="G126" s="8">
        <f t="shared" si="17"/>
        <v>0.17428916926766821</v>
      </c>
      <c r="H126">
        <f t="shared" si="26"/>
        <v>2.1350364711744745</v>
      </c>
      <c r="I126">
        <f t="shared" si="27"/>
        <v>0.23233337070566523</v>
      </c>
      <c r="J126">
        <f t="shared" si="28"/>
        <v>9.9977542357575205E-3</v>
      </c>
      <c r="K126" s="2">
        <f t="shared" si="29"/>
        <v>1.122882121239871E-6</v>
      </c>
      <c r="L126" s="9">
        <f t="shared" si="18"/>
        <v>-1.480201099637473</v>
      </c>
      <c r="M126" s="2">
        <f t="shared" si="19"/>
        <v>-7.5860105867701644E-7</v>
      </c>
      <c r="N126" s="2">
        <f t="shared" si="30"/>
        <v>0.25360062824673085</v>
      </c>
      <c r="O126">
        <f t="shared" si="31"/>
        <v>0.18287769855926819</v>
      </c>
      <c r="P126" s="10">
        <f t="shared" si="20"/>
        <v>1721.663998525401</v>
      </c>
      <c r="Q126" s="10">
        <f t="shared" si="21"/>
        <v>4270.0729423489483</v>
      </c>
      <c r="R126" s="10">
        <f t="shared" si="22"/>
        <v>5991.7369408743489</v>
      </c>
    </row>
    <row r="127" spans="3:18" x14ac:dyDescent="0.25">
      <c r="C127" s="1">
        <f t="shared" si="23"/>
        <v>61</v>
      </c>
      <c r="D127" s="10">
        <f t="shared" si="24"/>
        <v>-0.61</v>
      </c>
      <c r="E127" s="10">
        <f t="shared" si="16"/>
        <v>0.41960027596718197</v>
      </c>
      <c r="F127" s="10">
        <f t="shared" si="25"/>
        <v>0.18734967095856458</v>
      </c>
      <c r="G127" s="8">
        <f t="shared" si="17"/>
        <v>0.17428851275217366</v>
      </c>
      <c r="H127">
        <f t="shared" si="26"/>
        <v>2.1350451161906041</v>
      </c>
      <c r="I127">
        <f t="shared" si="27"/>
        <v>0.23233525220027271</v>
      </c>
      <c r="J127">
        <f t="shared" si="28"/>
        <v>9.997872860271529E-3</v>
      </c>
      <c r="K127" s="2">
        <f t="shared" si="29"/>
        <v>1.0635698642355931E-6</v>
      </c>
      <c r="L127" s="9">
        <f t="shared" si="18"/>
        <v>-1.4802312276455232</v>
      </c>
      <c r="M127" s="2">
        <f t="shared" si="19"/>
        <v>-7.1851602936881858E-7</v>
      </c>
      <c r="N127" s="2">
        <f t="shared" si="30"/>
        <v>0.25360062824673085</v>
      </c>
      <c r="O127">
        <f t="shared" si="31"/>
        <v>0.18287769855926819</v>
      </c>
      <c r="P127" s="10">
        <f t="shared" si="20"/>
        <v>1721.6500561662524</v>
      </c>
      <c r="Q127" s="10">
        <f t="shared" si="21"/>
        <v>4270.0902323812088</v>
      </c>
      <c r="R127" s="10">
        <f t="shared" si="22"/>
        <v>5991.7402885474612</v>
      </c>
    </row>
    <row r="128" spans="3:18" x14ac:dyDescent="0.25">
      <c r="C128" s="1">
        <f t="shared" si="23"/>
        <v>61.5</v>
      </c>
      <c r="D128" s="10">
        <f t="shared" si="24"/>
        <v>-0.61499999999999999</v>
      </c>
      <c r="E128" s="10">
        <f t="shared" si="16"/>
        <v>0.4196013395370462</v>
      </c>
      <c r="F128" s="10">
        <f t="shared" si="25"/>
        <v>0.18734895244253522</v>
      </c>
      <c r="G128" s="8">
        <f t="shared" si="17"/>
        <v>0.17428789092709146</v>
      </c>
      <c r="H128">
        <f t="shared" si="26"/>
        <v>2.1350533044623794</v>
      </c>
      <c r="I128">
        <f t="shared" si="27"/>
        <v>0.23233703429641825</v>
      </c>
      <c r="J128">
        <f t="shared" si="28"/>
        <v>9.997985218330948E-3</v>
      </c>
      <c r="K128" s="2">
        <f t="shared" si="29"/>
        <v>1.0073908345261187E-6</v>
      </c>
      <c r="L128" s="9">
        <f t="shared" si="18"/>
        <v>-1.4802597641177848</v>
      </c>
      <c r="M128" s="2">
        <f t="shared" si="19"/>
        <v>-6.8055003516663871E-7</v>
      </c>
      <c r="N128" s="2">
        <f t="shared" si="30"/>
        <v>0.25360062824673085</v>
      </c>
      <c r="O128">
        <f t="shared" si="31"/>
        <v>0.18287769855926819</v>
      </c>
      <c r="P128" s="10">
        <f t="shared" si="20"/>
        <v>1721.6368505835167</v>
      </c>
      <c r="Q128" s="10">
        <f t="shared" si="21"/>
        <v>4270.1066089247588</v>
      </c>
      <c r="R128" s="10">
        <f t="shared" si="22"/>
        <v>5991.7434595082759</v>
      </c>
    </row>
    <row r="129" spans="3:18" x14ac:dyDescent="0.25">
      <c r="C129" s="1">
        <f t="shared" si="23"/>
        <v>62</v>
      </c>
      <c r="D129" s="10">
        <f t="shared" si="24"/>
        <v>-0.62</v>
      </c>
      <c r="E129" s="10">
        <f t="shared" si="16"/>
        <v>0.41960234692788073</v>
      </c>
      <c r="F129" s="10">
        <f t="shared" si="25"/>
        <v>0.18734827189250006</v>
      </c>
      <c r="G129" s="8">
        <f t="shared" si="17"/>
        <v>0.17428730195860001</v>
      </c>
      <c r="H129">
        <f t="shared" si="26"/>
        <v>2.1350610601282671</v>
      </c>
      <c r="I129">
        <f t="shared" si="27"/>
        <v>0.23233872224648519</v>
      </c>
      <c r="J129">
        <f t="shared" si="28"/>
        <v>9.9980916410224753E-3</v>
      </c>
      <c r="K129" s="2">
        <f t="shared" si="29"/>
        <v>9.5417948876245356E-7</v>
      </c>
      <c r="L129" s="9">
        <f t="shared" si="18"/>
        <v>-1.4802867931421386</v>
      </c>
      <c r="M129" s="2">
        <f t="shared" si="19"/>
        <v>-6.4459096249657092E-7</v>
      </c>
      <c r="N129" s="2">
        <f t="shared" si="30"/>
        <v>0.25360062824673085</v>
      </c>
      <c r="O129">
        <f t="shared" si="31"/>
        <v>0.18287769855926819</v>
      </c>
      <c r="P129" s="10">
        <f t="shared" si="20"/>
        <v>1721.6243428232556</v>
      </c>
      <c r="Q129" s="10">
        <f t="shared" si="21"/>
        <v>4270.1221202565339</v>
      </c>
      <c r="R129" s="10">
        <f t="shared" si="22"/>
        <v>5991.7464630797895</v>
      </c>
    </row>
    <row r="130" spans="3:18" x14ac:dyDescent="0.25">
      <c r="C130" s="1">
        <f t="shared" si="23"/>
        <v>62.5</v>
      </c>
      <c r="D130" s="10">
        <f t="shared" si="24"/>
        <v>-0.625</v>
      </c>
      <c r="E130" s="10">
        <f t="shared" si="16"/>
        <v>0.41960330110736949</v>
      </c>
      <c r="F130" s="10">
        <f t="shared" si="25"/>
        <v>0.18734762730153756</v>
      </c>
      <c r="G130" s="8">
        <f t="shared" si="17"/>
        <v>0.17428674410989772</v>
      </c>
      <c r="H130">
        <f t="shared" si="26"/>
        <v>2.1350684060503027</v>
      </c>
      <c r="I130">
        <f t="shared" si="27"/>
        <v>0.23234032102518756</v>
      </c>
      <c r="J130">
        <f t="shared" si="28"/>
        <v>9.9981924419342422E-3</v>
      </c>
      <c r="K130" s="2">
        <f t="shared" si="29"/>
        <v>9.0377903287901934E-7</v>
      </c>
      <c r="L130" s="9">
        <f t="shared" si="18"/>
        <v>-1.4803123943623144</v>
      </c>
      <c r="M130" s="2">
        <f t="shared" si="19"/>
        <v>-6.1053263913820512E-7</v>
      </c>
      <c r="N130" s="2">
        <f t="shared" si="30"/>
        <v>0.25360062824673085</v>
      </c>
      <c r="O130">
        <f t="shared" si="31"/>
        <v>0.18287769855926819</v>
      </c>
      <c r="P130" s="10">
        <f t="shared" si="20"/>
        <v>1721.6124959930512</v>
      </c>
      <c r="Q130" s="10">
        <f t="shared" si="21"/>
        <v>4270.1368121006044</v>
      </c>
      <c r="R130" s="10">
        <f t="shared" si="22"/>
        <v>5991.7493080936556</v>
      </c>
    </row>
    <row r="131" spans="3:18" x14ac:dyDescent="0.25">
      <c r="D131" s="10"/>
      <c r="E131" s="10"/>
      <c r="K131" s="2"/>
      <c r="P131" s="10"/>
    </row>
  </sheetData>
  <phoneticPr fontId="3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70"/>
  <sheetViews>
    <sheetView topLeftCell="M1" workbookViewId="0">
      <selection activeCell="R6" sqref="R6"/>
    </sheetView>
  </sheetViews>
  <sheetFormatPr defaultRowHeight="13.2" x14ac:dyDescent="0.25"/>
  <cols>
    <col min="1" max="1" width="9.88671875" customWidth="1"/>
    <col min="5" max="5" width="9.109375" style="9" customWidth="1"/>
    <col min="6" max="6" width="10.44140625" style="1" customWidth="1"/>
    <col min="8" max="8" width="10" style="22" bestFit="1" customWidth="1"/>
    <col min="9" max="9" width="10.5546875" bestFit="1" customWidth="1"/>
    <col min="10" max="10" width="10.5546875" customWidth="1"/>
    <col min="11" max="11" width="16.44140625" customWidth="1"/>
    <col min="12" max="12" width="9.109375" style="22" customWidth="1"/>
    <col min="13" max="13" width="9.109375" customWidth="1"/>
    <col min="15" max="15" width="10" style="1" bestFit="1" customWidth="1"/>
    <col min="16" max="16" width="10" style="77" customWidth="1"/>
    <col min="17" max="17" width="8.6640625" style="40" customWidth="1"/>
    <col min="22" max="22" width="11" customWidth="1"/>
    <col min="25" max="25" width="9.44140625" bestFit="1" customWidth="1"/>
  </cols>
  <sheetData>
    <row r="1" spans="1:33" x14ac:dyDescent="0.25">
      <c r="A1" s="14" t="s">
        <v>97</v>
      </c>
      <c r="K1" s="51" t="s">
        <v>95</v>
      </c>
      <c r="L1" s="51">
        <f>$N$2*$B$8</f>
        <v>2</v>
      </c>
    </row>
    <row r="2" spans="1:33" x14ac:dyDescent="0.25">
      <c r="A2" s="14" t="s">
        <v>99</v>
      </c>
      <c r="M2" s="68" t="s">
        <v>94</v>
      </c>
      <c r="N2" s="31">
        <v>2</v>
      </c>
      <c r="AA2" s="69" t="s">
        <v>95</v>
      </c>
    </row>
    <row r="3" spans="1:33" x14ac:dyDescent="0.25">
      <c r="D3" s="52" t="s">
        <v>96</v>
      </c>
      <c r="E3" s="70">
        <f>($B$8^2/(9.81*$B$5^2))^(1/3)</f>
        <v>0.15975838489731028</v>
      </c>
      <c r="K3" s="52" t="s">
        <v>96</v>
      </c>
      <c r="L3" s="70">
        <f>(($B$8*$N$2)^2/(9.81*$B$5^2))^(1/3)</f>
        <v>0.25360062824673085</v>
      </c>
    </row>
    <row r="4" spans="1:33" x14ac:dyDescent="0.25">
      <c r="AG4" s="69" t="s">
        <v>95</v>
      </c>
    </row>
    <row r="5" spans="1:33" x14ac:dyDescent="0.25">
      <c r="A5" s="26" t="s">
        <v>58</v>
      </c>
      <c r="B5" s="3">
        <v>5</v>
      </c>
      <c r="C5" s="10" t="s">
        <v>6</v>
      </c>
      <c r="D5" s="12" t="s">
        <v>19</v>
      </c>
      <c r="E5" s="9" t="s">
        <v>21</v>
      </c>
      <c r="F5" s="1" t="s">
        <v>9</v>
      </c>
      <c r="H5" s="23" t="s">
        <v>12</v>
      </c>
      <c r="I5" t="s">
        <v>13</v>
      </c>
      <c r="L5" s="50" t="s">
        <v>6</v>
      </c>
      <c r="M5" s="25"/>
      <c r="N5" t="s">
        <v>9</v>
      </c>
      <c r="O5" s="73" t="s">
        <v>12</v>
      </c>
      <c r="P5" s="78"/>
      <c r="Q5" s="31" t="s">
        <v>6</v>
      </c>
      <c r="R5" s="14" t="s">
        <v>93</v>
      </c>
      <c r="S5" s="64" t="s">
        <v>89</v>
      </c>
      <c r="T5" s="14" t="s">
        <v>90</v>
      </c>
      <c r="U5" s="14" t="s">
        <v>9</v>
      </c>
      <c r="V5" s="14" t="s">
        <v>91</v>
      </c>
      <c r="W5" s="14" t="s">
        <v>92</v>
      </c>
      <c r="X5" s="52" t="s">
        <v>101</v>
      </c>
      <c r="Y5" s="14" t="s">
        <v>100</v>
      </c>
      <c r="AA5" t="s">
        <v>93</v>
      </c>
      <c r="AB5" t="s">
        <v>89</v>
      </c>
      <c r="AC5" t="s">
        <v>90</v>
      </c>
      <c r="AD5" t="s">
        <v>9</v>
      </c>
      <c r="AE5" t="s">
        <v>91</v>
      </c>
      <c r="AF5" t="s">
        <v>92</v>
      </c>
      <c r="AG5" s="52" t="s">
        <v>98</v>
      </c>
    </row>
    <row r="6" spans="1:33" x14ac:dyDescent="0.25">
      <c r="C6" s="32">
        <v>0.01</v>
      </c>
      <c r="D6" s="10">
        <f>$B$5</f>
        <v>5</v>
      </c>
      <c r="E6" s="9">
        <f>C6*D6</f>
        <v>0.05</v>
      </c>
      <c r="F6" s="1">
        <f>$B$8/E6</f>
        <v>20</v>
      </c>
      <c r="H6" s="63">
        <f t="shared" ref="H6:H42" si="0">C6+F6^2/(2*9.81)</f>
        <v>20.397359836901121</v>
      </c>
      <c r="I6" s="2"/>
      <c r="J6" s="2"/>
      <c r="L6" s="75">
        <f>C6</f>
        <v>0.01</v>
      </c>
      <c r="M6" s="8">
        <f t="shared" ref="M6:M42" si="1">$B$8/E6</f>
        <v>20</v>
      </c>
      <c r="N6">
        <f t="shared" ref="N6:N42" si="2">$B$8*$N$2/E6</f>
        <v>40</v>
      </c>
      <c r="O6" s="74">
        <f t="shared" ref="O6:O42" si="3">C6+N6^2/(2*9.81)</f>
        <v>81.559439347604481</v>
      </c>
      <c r="P6" s="79"/>
      <c r="Q6" s="32">
        <f>L6</f>
        <v>0.01</v>
      </c>
      <c r="R6" s="65">
        <f t="shared" ref="R6:R42" si="4">D6*C6</f>
        <v>0.05</v>
      </c>
      <c r="S6" s="65">
        <f t="shared" ref="S6:S42" si="5">C6*9.81*1000/2</f>
        <v>49.050000000000004</v>
      </c>
      <c r="T6" s="66">
        <f>S6*R6</f>
        <v>2.4525000000000006</v>
      </c>
      <c r="U6" s="65">
        <f t="shared" ref="U6:U42" si="6">F6</f>
        <v>20</v>
      </c>
      <c r="V6" s="65">
        <f>1000*U6^2</f>
        <v>400000</v>
      </c>
      <c r="W6" s="65">
        <f>V6*R6</f>
        <v>20000</v>
      </c>
      <c r="X6" s="67">
        <f>W6+T6</f>
        <v>20002.452499999999</v>
      </c>
      <c r="Y6" s="1">
        <f>Q6+U6^2/(2*9.81)</f>
        <v>20.397359836901121</v>
      </c>
      <c r="AA6" s="65">
        <f>R6</f>
        <v>0.05</v>
      </c>
      <c r="AB6" s="65">
        <f>S6</f>
        <v>49.050000000000004</v>
      </c>
      <c r="AC6" s="65">
        <f>T6</f>
        <v>2.4525000000000006</v>
      </c>
      <c r="AD6">
        <f>N6</f>
        <v>40</v>
      </c>
      <c r="AE6">
        <f>1000*AD6^2</f>
        <v>1600000</v>
      </c>
      <c r="AF6">
        <f>AE6*AA6</f>
        <v>80000</v>
      </c>
      <c r="AG6" s="52">
        <f>AF6+AC6</f>
        <v>80002.452499999999</v>
      </c>
    </row>
    <row r="7" spans="1:33" x14ac:dyDescent="0.25">
      <c r="C7" s="32">
        <f>C6+$B$14</f>
        <v>0.02</v>
      </c>
      <c r="D7" s="10">
        <f>D6</f>
        <v>5</v>
      </c>
      <c r="E7" s="9">
        <f t="shared" ref="E7:E19" si="7">C7*D7</f>
        <v>0.1</v>
      </c>
      <c r="F7" s="1">
        <f t="shared" ref="F7:F42" si="8">$B$8/E7</f>
        <v>10</v>
      </c>
      <c r="H7" s="63">
        <f t="shared" si="0"/>
        <v>5.1168399592252793</v>
      </c>
      <c r="I7" s="2">
        <f>H7-H6</f>
        <v>-15.280519877675841</v>
      </c>
      <c r="J7" s="2"/>
      <c r="K7" t="str">
        <f>IF((I6*I7)&lt;0,"SezCrit!!"," ")</f>
        <v xml:space="preserve"> </v>
      </c>
      <c r="L7" s="75">
        <f>C6</f>
        <v>0.01</v>
      </c>
      <c r="M7" s="8">
        <f t="shared" si="1"/>
        <v>10</v>
      </c>
      <c r="N7">
        <f t="shared" si="2"/>
        <v>20</v>
      </c>
      <c r="O7" s="74">
        <f t="shared" si="3"/>
        <v>20.407359836901119</v>
      </c>
      <c r="P7" s="79"/>
      <c r="Q7" s="81">
        <f t="shared" ref="Q7:Q42" si="9">L7</f>
        <v>0.01</v>
      </c>
      <c r="R7" s="82">
        <f t="shared" si="4"/>
        <v>0.1</v>
      </c>
      <c r="S7" s="82">
        <f t="shared" si="5"/>
        <v>98.100000000000009</v>
      </c>
      <c r="T7" s="83">
        <f t="shared" ref="T7:T42" si="10">S7*R7</f>
        <v>9.8100000000000023</v>
      </c>
      <c r="U7" s="82">
        <f t="shared" si="6"/>
        <v>10</v>
      </c>
      <c r="V7" s="82">
        <f t="shared" ref="V7:V42" si="11">1000*U7^2</f>
        <v>100000</v>
      </c>
      <c r="W7" s="82">
        <f t="shared" ref="W7:W42" si="12">V7*R7</f>
        <v>10000</v>
      </c>
      <c r="X7" s="84">
        <f t="shared" ref="X7:X42" si="13">W7+T7</f>
        <v>10009.81</v>
      </c>
      <c r="Y7" s="1">
        <f t="shared" ref="Y7:Y42" si="14">Q7+U7^2/(2*9.81)</f>
        <v>5.1068399592252796</v>
      </c>
      <c r="AA7" s="65">
        <f t="shared" ref="AA7:AA42" si="15">R7</f>
        <v>0.1</v>
      </c>
      <c r="AB7" s="65">
        <f t="shared" ref="AB7:AB42" si="16">S7</f>
        <v>98.100000000000009</v>
      </c>
      <c r="AC7" s="65">
        <f t="shared" ref="AC7:AC42" si="17">T7</f>
        <v>9.8100000000000023</v>
      </c>
      <c r="AD7">
        <f t="shared" ref="AD7:AD42" si="18">N7</f>
        <v>20</v>
      </c>
      <c r="AE7">
        <f t="shared" ref="AE7:AE42" si="19">1000*AD7^2</f>
        <v>400000</v>
      </c>
      <c r="AF7">
        <f t="shared" ref="AF7:AF42" si="20">AE7*AA7</f>
        <v>40000</v>
      </c>
      <c r="AG7" s="52">
        <f t="shared" ref="AG7:AG42" si="21">AF7+AC7</f>
        <v>40009.81</v>
      </c>
    </row>
    <row r="8" spans="1:33" x14ac:dyDescent="0.25">
      <c r="A8" s="3" t="s">
        <v>27</v>
      </c>
      <c r="B8" s="3">
        <v>1</v>
      </c>
      <c r="C8" s="32">
        <f t="shared" ref="C8:C19" si="22">C7+$B$14</f>
        <v>0.03</v>
      </c>
      <c r="D8" s="10">
        <f t="shared" ref="D8:D70" si="23">D7</f>
        <v>5</v>
      </c>
      <c r="E8" s="9">
        <f t="shared" si="7"/>
        <v>0.15</v>
      </c>
      <c r="F8" s="1">
        <f t="shared" si="8"/>
        <v>6.666666666666667</v>
      </c>
      <c r="H8" s="63">
        <f t="shared" si="0"/>
        <v>2.2952622041001245</v>
      </c>
      <c r="I8" s="2">
        <f t="shared" ref="I8:I31" si="24">H8-H7</f>
        <v>-2.8215777551251549</v>
      </c>
      <c r="J8" s="2"/>
      <c r="K8" t="str">
        <f t="shared" ref="K8:K42" si="25">IF((I7*I8)&lt;0,"SezCrit!!"," ")</f>
        <v xml:space="preserve"> </v>
      </c>
      <c r="L8" s="75">
        <f t="shared" ref="L8:L42" si="26">C7</f>
        <v>0.02</v>
      </c>
      <c r="M8" s="8">
        <f t="shared" si="1"/>
        <v>6.666666666666667</v>
      </c>
      <c r="N8">
        <f t="shared" si="2"/>
        <v>13.333333333333334</v>
      </c>
      <c r="O8" s="74">
        <f t="shared" si="3"/>
        <v>9.0910488164004981</v>
      </c>
      <c r="P8" s="79"/>
      <c r="Q8" s="81">
        <f t="shared" si="9"/>
        <v>0.02</v>
      </c>
      <c r="R8" s="82">
        <f t="shared" si="4"/>
        <v>0.15</v>
      </c>
      <c r="S8" s="82">
        <f t="shared" si="5"/>
        <v>147.15</v>
      </c>
      <c r="T8" s="83">
        <f t="shared" si="10"/>
        <v>22.072500000000002</v>
      </c>
      <c r="U8" s="82">
        <f t="shared" si="6"/>
        <v>6.666666666666667</v>
      </c>
      <c r="V8" s="82">
        <f t="shared" si="11"/>
        <v>44444.444444444453</v>
      </c>
      <c r="W8" s="82">
        <f t="shared" si="12"/>
        <v>6666.6666666666679</v>
      </c>
      <c r="X8" s="84">
        <f t="shared" si="13"/>
        <v>6688.7391666666681</v>
      </c>
      <c r="Y8" s="1">
        <f t="shared" si="14"/>
        <v>2.2852622041001247</v>
      </c>
      <c r="AA8" s="65">
        <f t="shared" si="15"/>
        <v>0.15</v>
      </c>
      <c r="AB8" s="65">
        <f t="shared" si="16"/>
        <v>147.15</v>
      </c>
      <c r="AC8" s="65">
        <f t="shared" si="17"/>
        <v>22.072500000000002</v>
      </c>
      <c r="AD8">
        <f t="shared" si="18"/>
        <v>13.333333333333334</v>
      </c>
      <c r="AE8">
        <f t="shared" si="19"/>
        <v>177777.77777777781</v>
      </c>
      <c r="AF8">
        <f t="shared" si="20"/>
        <v>26666.666666666672</v>
      </c>
      <c r="AG8" s="52">
        <f t="shared" si="21"/>
        <v>26688.73916666667</v>
      </c>
    </row>
    <row r="9" spans="1:33" x14ac:dyDescent="0.25">
      <c r="C9" s="32">
        <f t="shared" si="22"/>
        <v>0.04</v>
      </c>
      <c r="D9" s="10">
        <f t="shared" si="23"/>
        <v>5</v>
      </c>
      <c r="E9" s="9">
        <f t="shared" si="7"/>
        <v>0.2</v>
      </c>
      <c r="F9" s="1">
        <f t="shared" si="8"/>
        <v>5</v>
      </c>
      <c r="H9" s="63">
        <f t="shared" si="0"/>
        <v>1.31420998980632</v>
      </c>
      <c r="I9" s="2">
        <f t="shared" si="24"/>
        <v>-0.98105221429380451</v>
      </c>
      <c r="J9" s="2"/>
      <c r="K9" t="str">
        <f t="shared" si="25"/>
        <v xml:space="preserve"> </v>
      </c>
      <c r="L9" s="75">
        <f t="shared" si="26"/>
        <v>0.03</v>
      </c>
      <c r="M9" s="8">
        <f t="shared" si="1"/>
        <v>5</v>
      </c>
      <c r="N9">
        <f t="shared" si="2"/>
        <v>10</v>
      </c>
      <c r="O9" s="74">
        <f t="shared" si="3"/>
        <v>5.1368399592252798</v>
      </c>
      <c r="P9" s="79"/>
      <c r="Q9" s="117">
        <f t="shared" si="9"/>
        <v>0.03</v>
      </c>
      <c r="R9" s="92">
        <f t="shared" si="4"/>
        <v>0.2</v>
      </c>
      <c r="S9" s="92">
        <f t="shared" si="5"/>
        <v>196.20000000000002</v>
      </c>
      <c r="T9" s="93">
        <f t="shared" si="10"/>
        <v>39.240000000000009</v>
      </c>
      <c r="U9" s="92">
        <f t="shared" si="6"/>
        <v>5</v>
      </c>
      <c r="V9" s="92">
        <f t="shared" si="11"/>
        <v>25000</v>
      </c>
      <c r="W9" s="92">
        <f t="shared" si="12"/>
        <v>5000</v>
      </c>
      <c r="X9" s="112">
        <f t="shared" si="13"/>
        <v>5039.24</v>
      </c>
      <c r="Y9" s="115">
        <f t="shared" si="14"/>
        <v>1.30420998980632</v>
      </c>
      <c r="AA9" s="65">
        <f t="shared" si="15"/>
        <v>0.2</v>
      </c>
      <c r="AB9" s="65">
        <f t="shared" si="16"/>
        <v>196.20000000000002</v>
      </c>
      <c r="AC9" s="65">
        <f t="shared" si="17"/>
        <v>39.240000000000009</v>
      </c>
      <c r="AD9">
        <f t="shared" si="18"/>
        <v>10</v>
      </c>
      <c r="AE9">
        <f t="shared" si="19"/>
        <v>100000</v>
      </c>
      <c r="AF9">
        <f t="shared" si="20"/>
        <v>20000</v>
      </c>
      <c r="AG9" s="52">
        <f t="shared" si="21"/>
        <v>20039.240000000002</v>
      </c>
    </row>
    <row r="10" spans="1:33" x14ac:dyDescent="0.25">
      <c r="C10" s="32">
        <f t="shared" si="22"/>
        <v>0.05</v>
      </c>
      <c r="D10" s="10">
        <f t="shared" si="23"/>
        <v>5</v>
      </c>
      <c r="E10" s="40">
        <f t="shared" si="7"/>
        <v>0.25</v>
      </c>
      <c r="F10" s="76">
        <f t="shared" si="8"/>
        <v>4</v>
      </c>
      <c r="G10" s="40"/>
      <c r="H10" s="71">
        <f t="shared" si="0"/>
        <v>0.86549439347604484</v>
      </c>
      <c r="I10" s="72">
        <f t="shared" si="24"/>
        <v>-0.44871559633027513</v>
      </c>
      <c r="J10" s="72"/>
      <c r="K10" s="40" t="str">
        <f t="shared" si="25"/>
        <v xml:space="preserve"> </v>
      </c>
      <c r="L10" s="75">
        <f t="shared" si="26"/>
        <v>0.04</v>
      </c>
      <c r="M10" s="8">
        <f t="shared" si="1"/>
        <v>4</v>
      </c>
      <c r="N10">
        <f t="shared" si="2"/>
        <v>8</v>
      </c>
      <c r="O10" s="74">
        <f t="shared" si="3"/>
        <v>3.311977573904179</v>
      </c>
      <c r="P10" s="79"/>
      <c r="Q10" s="32">
        <f t="shared" si="9"/>
        <v>0.04</v>
      </c>
      <c r="R10" s="65">
        <f t="shared" si="4"/>
        <v>0.25</v>
      </c>
      <c r="S10" s="65">
        <f t="shared" si="5"/>
        <v>245.25000000000003</v>
      </c>
      <c r="T10" s="66">
        <f t="shared" si="10"/>
        <v>61.312500000000007</v>
      </c>
      <c r="U10" s="65">
        <f t="shared" si="6"/>
        <v>4</v>
      </c>
      <c r="V10" s="65">
        <f t="shared" si="11"/>
        <v>16000</v>
      </c>
      <c r="W10" s="65">
        <f t="shared" si="12"/>
        <v>4000</v>
      </c>
      <c r="X10" s="67">
        <f t="shared" si="13"/>
        <v>4061.3125</v>
      </c>
      <c r="Y10" s="1">
        <f t="shared" si="14"/>
        <v>0.85549439347604483</v>
      </c>
      <c r="AA10" s="65">
        <f t="shared" si="15"/>
        <v>0.25</v>
      </c>
      <c r="AB10" s="65">
        <f t="shared" si="16"/>
        <v>245.25000000000003</v>
      </c>
      <c r="AC10" s="65">
        <f t="shared" si="17"/>
        <v>61.312500000000007</v>
      </c>
      <c r="AD10">
        <f t="shared" si="18"/>
        <v>8</v>
      </c>
      <c r="AE10">
        <f t="shared" si="19"/>
        <v>64000</v>
      </c>
      <c r="AF10">
        <f t="shared" si="20"/>
        <v>16000</v>
      </c>
      <c r="AG10" s="52">
        <f t="shared" si="21"/>
        <v>16061.3125</v>
      </c>
    </row>
    <row r="11" spans="1:33" x14ac:dyDescent="0.25">
      <c r="C11" s="32">
        <f t="shared" si="22"/>
        <v>6.0000000000000005E-2</v>
      </c>
      <c r="D11" s="10">
        <f t="shared" si="23"/>
        <v>5</v>
      </c>
      <c r="E11" s="9">
        <f t="shared" si="7"/>
        <v>0.30000000000000004</v>
      </c>
      <c r="F11" s="1">
        <f t="shared" si="8"/>
        <v>3.333333333333333</v>
      </c>
      <c r="H11" s="63">
        <f t="shared" si="0"/>
        <v>0.62631555102503111</v>
      </c>
      <c r="I11" s="2">
        <f t="shared" si="24"/>
        <v>-0.23917884245101373</v>
      </c>
      <c r="J11" s="2"/>
      <c r="K11" t="str">
        <f t="shared" si="25"/>
        <v xml:space="preserve"> </v>
      </c>
      <c r="L11" s="75">
        <f t="shared" si="26"/>
        <v>0.05</v>
      </c>
      <c r="M11" s="8">
        <f t="shared" si="1"/>
        <v>3.333333333333333</v>
      </c>
      <c r="N11">
        <f t="shared" si="2"/>
        <v>6.6666666666666661</v>
      </c>
      <c r="O11" s="74">
        <f t="shared" si="3"/>
        <v>2.3252622041001243</v>
      </c>
      <c r="P11" s="79"/>
      <c r="Q11" s="32">
        <f t="shared" si="9"/>
        <v>0.05</v>
      </c>
      <c r="R11" s="65">
        <f t="shared" si="4"/>
        <v>0.30000000000000004</v>
      </c>
      <c r="S11" s="65">
        <f t="shared" si="5"/>
        <v>294.30000000000007</v>
      </c>
      <c r="T11" s="66">
        <f t="shared" si="10"/>
        <v>88.290000000000035</v>
      </c>
      <c r="U11" s="65">
        <f t="shared" si="6"/>
        <v>3.333333333333333</v>
      </c>
      <c r="V11" s="65">
        <f t="shared" si="11"/>
        <v>11111.111111111109</v>
      </c>
      <c r="W11" s="65">
        <f t="shared" si="12"/>
        <v>3333.3333333333335</v>
      </c>
      <c r="X11" s="67">
        <f t="shared" si="13"/>
        <v>3421.6233333333334</v>
      </c>
      <c r="Y11" s="1">
        <f t="shared" si="14"/>
        <v>0.61631555102503111</v>
      </c>
      <c r="AA11" s="65">
        <f t="shared" si="15"/>
        <v>0.30000000000000004</v>
      </c>
      <c r="AB11" s="65">
        <f t="shared" si="16"/>
        <v>294.30000000000007</v>
      </c>
      <c r="AC11" s="65">
        <f t="shared" si="17"/>
        <v>88.290000000000035</v>
      </c>
      <c r="AD11">
        <f t="shared" si="18"/>
        <v>6.6666666666666661</v>
      </c>
      <c r="AE11">
        <f t="shared" si="19"/>
        <v>44444.444444444438</v>
      </c>
      <c r="AF11">
        <f t="shared" si="20"/>
        <v>13333.333333333334</v>
      </c>
      <c r="AG11" s="52">
        <f t="shared" si="21"/>
        <v>13421.623333333335</v>
      </c>
    </row>
    <row r="12" spans="1:33" x14ac:dyDescent="0.25">
      <c r="C12" s="32">
        <f t="shared" si="22"/>
        <v>7.0000000000000007E-2</v>
      </c>
      <c r="D12" s="10">
        <f t="shared" si="23"/>
        <v>5</v>
      </c>
      <c r="E12" s="9">
        <f t="shared" si="7"/>
        <v>0.35000000000000003</v>
      </c>
      <c r="F12" s="1">
        <f t="shared" si="8"/>
        <v>2.8571428571428568</v>
      </c>
      <c r="H12" s="63">
        <f t="shared" si="0"/>
        <v>0.4860685681000228</v>
      </c>
      <c r="I12" s="2">
        <f t="shared" si="24"/>
        <v>-0.14024698292500831</v>
      </c>
      <c r="J12" s="2"/>
      <c r="K12" t="str">
        <f t="shared" si="25"/>
        <v xml:space="preserve"> </v>
      </c>
      <c r="L12" s="75">
        <f t="shared" si="26"/>
        <v>6.0000000000000005E-2</v>
      </c>
      <c r="M12" s="8">
        <f t="shared" si="1"/>
        <v>2.8571428571428568</v>
      </c>
      <c r="N12">
        <f t="shared" si="2"/>
        <v>5.7142857142857135</v>
      </c>
      <c r="O12" s="74">
        <f t="shared" si="3"/>
        <v>1.7342742724000912</v>
      </c>
      <c r="P12" s="79"/>
      <c r="Q12" s="32">
        <f t="shared" si="9"/>
        <v>6.0000000000000005E-2</v>
      </c>
      <c r="R12" s="65">
        <f t="shared" si="4"/>
        <v>0.35000000000000003</v>
      </c>
      <c r="S12" s="65">
        <f t="shared" si="5"/>
        <v>343.35</v>
      </c>
      <c r="T12" s="66">
        <f t="shared" si="10"/>
        <v>120.17250000000001</v>
      </c>
      <c r="U12" s="65">
        <f t="shared" si="6"/>
        <v>2.8571428571428568</v>
      </c>
      <c r="V12" s="65">
        <f t="shared" si="11"/>
        <v>8163.2653061224473</v>
      </c>
      <c r="W12" s="65">
        <f t="shared" si="12"/>
        <v>2857.1428571428569</v>
      </c>
      <c r="X12" s="67">
        <f t="shared" si="13"/>
        <v>2977.315357142857</v>
      </c>
      <c r="Y12" s="1">
        <f t="shared" si="14"/>
        <v>0.47606856810002279</v>
      </c>
      <c r="AA12" s="65">
        <f t="shared" si="15"/>
        <v>0.35000000000000003</v>
      </c>
      <c r="AB12" s="65">
        <f t="shared" si="16"/>
        <v>343.35</v>
      </c>
      <c r="AC12" s="65">
        <f t="shared" si="17"/>
        <v>120.17250000000001</v>
      </c>
      <c r="AD12">
        <f t="shared" si="18"/>
        <v>5.7142857142857135</v>
      </c>
      <c r="AE12">
        <f t="shared" si="19"/>
        <v>32653.061224489789</v>
      </c>
      <c r="AF12">
        <f t="shared" si="20"/>
        <v>11428.571428571428</v>
      </c>
      <c r="AG12" s="52">
        <f t="shared" si="21"/>
        <v>11548.743928571428</v>
      </c>
    </row>
    <row r="13" spans="1:33" x14ac:dyDescent="0.25">
      <c r="B13" s="1"/>
      <c r="C13" s="32">
        <f t="shared" si="22"/>
        <v>0.08</v>
      </c>
      <c r="D13" s="10">
        <f t="shared" si="23"/>
        <v>5</v>
      </c>
      <c r="E13" s="9">
        <f t="shared" si="7"/>
        <v>0.4</v>
      </c>
      <c r="F13" s="1">
        <f t="shared" si="8"/>
        <v>2.5</v>
      </c>
      <c r="H13" s="63">
        <f t="shared" si="0"/>
        <v>0.39855249745158</v>
      </c>
      <c r="I13" s="2">
        <f t="shared" si="24"/>
        <v>-8.7516070648442801E-2</v>
      </c>
      <c r="J13" s="2"/>
      <c r="K13" t="str">
        <f t="shared" si="25"/>
        <v xml:space="preserve"> </v>
      </c>
      <c r="L13" s="75">
        <f t="shared" si="26"/>
        <v>7.0000000000000007E-2</v>
      </c>
      <c r="M13" s="8">
        <f t="shared" si="1"/>
        <v>2.5</v>
      </c>
      <c r="N13">
        <f t="shared" si="2"/>
        <v>5</v>
      </c>
      <c r="O13" s="74">
        <f t="shared" si="3"/>
        <v>1.35420998980632</v>
      </c>
      <c r="P13" s="79"/>
      <c r="Q13" s="32">
        <f t="shared" si="9"/>
        <v>7.0000000000000007E-2</v>
      </c>
      <c r="R13" s="65">
        <f t="shared" si="4"/>
        <v>0.4</v>
      </c>
      <c r="S13" s="65">
        <f t="shared" si="5"/>
        <v>392.40000000000003</v>
      </c>
      <c r="T13" s="66">
        <f t="shared" si="10"/>
        <v>156.96000000000004</v>
      </c>
      <c r="U13" s="65">
        <f t="shared" si="6"/>
        <v>2.5</v>
      </c>
      <c r="V13" s="65">
        <f t="shared" si="11"/>
        <v>6250</v>
      </c>
      <c r="W13" s="65">
        <f t="shared" si="12"/>
        <v>2500</v>
      </c>
      <c r="X13" s="67">
        <f t="shared" si="13"/>
        <v>2656.96</v>
      </c>
      <c r="Y13" s="1">
        <f t="shared" si="14"/>
        <v>0.38855249745157999</v>
      </c>
      <c r="AA13" s="65">
        <f t="shared" si="15"/>
        <v>0.4</v>
      </c>
      <c r="AB13" s="65">
        <f t="shared" si="16"/>
        <v>392.40000000000003</v>
      </c>
      <c r="AC13" s="65">
        <f t="shared" si="17"/>
        <v>156.96000000000004</v>
      </c>
      <c r="AD13">
        <f t="shared" si="18"/>
        <v>5</v>
      </c>
      <c r="AE13">
        <f t="shared" si="19"/>
        <v>25000</v>
      </c>
      <c r="AF13">
        <f t="shared" si="20"/>
        <v>10000</v>
      </c>
      <c r="AG13" s="52">
        <f t="shared" si="21"/>
        <v>10156.959999999999</v>
      </c>
    </row>
    <row r="14" spans="1:33" x14ac:dyDescent="0.25">
      <c r="A14" s="4" t="s">
        <v>20</v>
      </c>
      <c r="B14" s="1">
        <v>0.01</v>
      </c>
      <c r="C14" s="32">
        <f t="shared" si="22"/>
        <v>0.09</v>
      </c>
      <c r="D14" s="10">
        <f t="shared" si="23"/>
        <v>5</v>
      </c>
      <c r="E14" s="9">
        <f t="shared" si="7"/>
        <v>0.44999999999999996</v>
      </c>
      <c r="F14" s="1">
        <f t="shared" si="8"/>
        <v>2.2222222222222223</v>
      </c>
      <c r="H14" s="63">
        <f t="shared" si="0"/>
        <v>0.34169580045556947</v>
      </c>
      <c r="I14" s="2">
        <f t="shared" si="24"/>
        <v>-5.6856696996010536E-2</v>
      </c>
      <c r="J14" s="2"/>
      <c r="K14" t="str">
        <f t="shared" si="25"/>
        <v xml:space="preserve"> </v>
      </c>
      <c r="L14" s="75">
        <f t="shared" si="26"/>
        <v>0.08</v>
      </c>
      <c r="M14" s="8">
        <f t="shared" si="1"/>
        <v>2.2222222222222223</v>
      </c>
      <c r="N14">
        <f t="shared" si="2"/>
        <v>4.4444444444444446</v>
      </c>
      <c r="O14" s="74">
        <f t="shared" si="3"/>
        <v>1.0967832018222778</v>
      </c>
      <c r="P14" s="79"/>
      <c r="Q14" s="32">
        <f t="shared" si="9"/>
        <v>0.08</v>
      </c>
      <c r="R14" s="65">
        <f t="shared" si="4"/>
        <v>0.44999999999999996</v>
      </c>
      <c r="S14" s="65">
        <f t="shared" si="5"/>
        <v>441.45</v>
      </c>
      <c r="T14" s="66">
        <f t="shared" si="10"/>
        <v>198.65249999999997</v>
      </c>
      <c r="U14" s="65">
        <f t="shared" si="6"/>
        <v>2.2222222222222223</v>
      </c>
      <c r="V14" s="65">
        <f t="shared" si="11"/>
        <v>4938.2716049382725</v>
      </c>
      <c r="W14" s="65">
        <f t="shared" si="12"/>
        <v>2222.2222222222226</v>
      </c>
      <c r="X14" s="114">
        <f t="shared" si="13"/>
        <v>2420.8747222222228</v>
      </c>
      <c r="Y14" s="1">
        <f t="shared" si="14"/>
        <v>0.33169580045556946</v>
      </c>
      <c r="AA14" s="65">
        <f t="shared" si="15"/>
        <v>0.44999999999999996</v>
      </c>
      <c r="AB14" s="65">
        <f t="shared" si="16"/>
        <v>441.45</v>
      </c>
      <c r="AC14" s="65">
        <f t="shared" si="17"/>
        <v>198.65249999999997</v>
      </c>
      <c r="AD14">
        <f t="shared" si="18"/>
        <v>4.4444444444444446</v>
      </c>
      <c r="AE14">
        <f t="shared" si="19"/>
        <v>19753.08641975309</v>
      </c>
      <c r="AF14">
        <f t="shared" si="20"/>
        <v>8888.8888888888905</v>
      </c>
      <c r="AG14" s="52">
        <f t="shared" si="21"/>
        <v>9087.5413888888907</v>
      </c>
    </row>
    <row r="15" spans="1:33" x14ac:dyDescent="0.25">
      <c r="A15" s="4"/>
      <c r="B15" s="1"/>
      <c r="C15" s="32">
        <f t="shared" si="22"/>
        <v>9.9999999999999992E-2</v>
      </c>
      <c r="D15" s="10">
        <f t="shared" si="23"/>
        <v>5</v>
      </c>
      <c r="E15" s="9">
        <f t="shared" si="7"/>
        <v>0.49999999999999994</v>
      </c>
      <c r="F15" s="1">
        <f t="shared" si="8"/>
        <v>2</v>
      </c>
      <c r="H15" s="63">
        <f t="shared" si="0"/>
        <v>0.30387359836901118</v>
      </c>
      <c r="I15" s="2">
        <f t="shared" si="24"/>
        <v>-3.7822202086558288E-2</v>
      </c>
      <c r="J15" s="2"/>
      <c r="L15" s="75">
        <f t="shared" si="26"/>
        <v>0.09</v>
      </c>
      <c r="M15" s="8">
        <f t="shared" si="1"/>
        <v>2</v>
      </c>
      <c r="N15">
        <f t="shared" si="2"/>
        <v>4</v>
      </c>
      <c r="O15" s="74">
        <f t="shared" si="3"/>
        <v>0.91549439347604478</v>
      </c>
      <c r="P15" s="79"/>
      <c r="Q15" s="32">
        <f t="shared" si="9"/>
        <v>0.09</v>
      </c>
      <c r="R15" s="65">
        <f t="shared" si="4"/>
        <v>0.49999999999999994</v>
      </c>
      <c r="S15" s="65">
        <f t="shared" si="5"/>
        <v>490.5</v>
      </c>
      <c r="T15" s="66">
        <f t="shared" si="10"/>
        <v>245.24999999999997</v>
      </c>
      <c r="U15" s="65">
        <f t="shared" si="6"/>
        <v>2</v>
      </c>
      <c r="V15" s="65">
        <f t="shared" si="11"/>
        <v>4000</v>
      </c>
      <c r="W15" s="65">
        <f t="shared" si="12"/>
        <v>1999.9999999999998</v>
      </c>
      <c r="X15" s="67">
        <f t="shared" si="13"/>
        <v>2245.2499999999995</v>
      </c>
      <c r="Y15" s="1">
        <f t="shared" si="14"/>
        <v>0.29387359836901117</v>
      </c>
      <c r="AA15" s="65">
        <f t="shared" si="15"/>
        <v>0.49999999999999994</v>
      </c>
      <c r="AB15" s="65">
        <f t="shared" si="16"/>
        <v>490.5</v>
      </c>
      <c r="AC15" s="65">
        <f t="shared" si="17"/>
        <v>245.24999999999997</v>
      </c>
      <c r="AD15">
        <f t="shared" si="18"/>
        <v>4</v>
      </c>
      <c r="AE15">
        <f t="shared" si="19"/>
        <v>16000</v>
      </c>
      <c r="AF15">
        <f t="shared" si="20"/>
        <v>7999.9999999999991</v>
      </c>
      <c r="AG15" s="52">
        <f t="shared" si="21"/>
        <v>8245.2499999999982</v>
      </c>
    </row>
    <row r="16" spans="1:33" x14ac:dyDescent="0.25">
      <c r="C16" s="32">
        <f t="shared" si="22"/>
        <v>0.10999999999999999</v>
      </c>
      <c r="D16" s="10">
        <f t="shared" si="23"/>
        <v>5</v>
      </c>
      <c r="E16" s="9">
        <f t="shared" si="7"/>
        <v>0.54999999999999993</v>
      </c>
      <c r="F16" s="1">
        <f t="shared" si="8"/>
        <v>1.8181818181818183</v>
      </c>
      <c r="H16" s="63">
        <f t="shared" si="0"/>
        <v>0.27849057716447212</v>
      </c>
      <c r="I16" s="2">
        <f t="shared" si="24"/>
        <v>-2.5383021204539058E-2</v>
      </c>
      <c r="J16" s="2"/>
      <c r="K16" t="str">
        <f t="shared" si="25"/>
        <v xml:space="preserve"> </v>
      </c>
      <c r="L16" s="75">
        <f t="shared" si="26"/>
        <v>9.9999999999999992E-2</v>
      </c>
      <c r="M16" s="8">
        <f t="shared" si="1"/>
        <v>1.8181818181818183</v>
      </c>
      <c r="N16">
        <f t="shared" si="2"/>
        <v>3.6363636363636367</v>
      </c>
      <c r="O16" s="74">
        <f t="shared" si="3"/>
        <v>0.78396230865788841</v>
      </c>
      <c r="P16" s="79"/>
      <c r="Q16" s="32">
        <f t="shared" si="9"/>
        <v>9.9999999999999992E-2</v>
      </c>
      <c r="R16" s="65">
        <f t="shared" si="4"/>
        <v>0.54999999999999993</v>
      </c>
      <c r="S16" s="65">
        <f t="shared" si="5"/>
        <v>539.54999999999995</v>
      </c>
      <c r="T16" s="66">
        <f t="shared" si="10"/>
        <v>296.75249999999994</v>
      </c>
      <c r="U16" s="65">
        <f t="shared" si="6"/>
        <v>1.8181818181818183</v>
      </c>
      <c r="V16" s="65">
        <f t="shared" si="11"/>
        <v>3305.7851239669426</v>
      </c>
      <c r="W16" s="65">
        <f t="shared" si="12"/>
        <v>1818.1818181818182</v>
      </c>
      <c r="X16" s="67">
        <f t="shared" si="13"/>
        <v>2114.9343181818181</v>
      </c>
      <c r="Y16" s="1">
        <f t="shared" si="14"/>
        <v>0.26849057716447211</v>
      </c>
      <c r="AA16" s="65">
        <f t="shared" si="15"/>
        <v>0.54999999999999993</v>
      </c>
      <c r="AB16" s="65">
        <f t="shared" si="16"/>
        <v>539.54999999999995</v>
      </c>
      <c r="AC16" s="65">
        <f t="shared" si="17"/>
        <v>296.75249999999994</v>
      </c>
      <c r="AD16">
        <f t="shared" si="18"/>
        <v>3.6363636363636367</v>
      </c>
      <c r="AE16">
        <f t="shared" si="19"/>
        <v>13223.14049586777</v>
      </c>
      <c r="AF16">
        <f t="shared" si="20"/>
        <v>7272.727272727273</v>
      </c>
      <c r="AG16" s="52">
        <f t="shared" si="21"/>
        <v>7569.4797727272726</v>
      </c>
    </row>
    <row r="17" spans="1:33" x14ac:dyDescent="0.25">
      <c r="C17" s="32">
        <f t="shared" si="22"/>
        <v>0.11999999999999998</v>
      </c>
      <c r="D17" s="10">
        <f t="shared" si="23"/>
        <v>5</v>
      </c>
      <c r="E17" s="9">
        <f t="shared" si="7"/>
        <v>0.59999999999999987</v>
      </c>
      <c r="F17" s="1">
        <f t="shared" si="8"/>
        <v>1.666666666666667</v>
      </c>
      <c r="H17" s="63">
        <f t="shared" si="0"/>
        <v>0.26157888775625782</v>
      </c>
      <c r="I17" s="2">
        <f t="shared" si="24"/>
        <v>-1.6911689408214303E-2</v>
      </c>
      <c r="J17" s="2"/>
      <c r="K17" t="str">
        <f t="shared" si="25"/>
        <v xml:space="preserve"> </v>
      </c>
      <c r="L17" s="75">
        <f t="shared" si="26"/>
        <v>0.10999999999999999</v>
      </c>
      <c r="M17" s="8">
        <f t="shared" si="1"/>
        <v>1.666666666666667</v>
      </c>
      <c r="N17">
        <f t="shared" si="2"/>
        <v>3.3333333333333339</v>
      </c>
      <c r="O17" s="74">
        <f t="shared" si="3"/>
        <v>0.68631555102503128</v>
      </c>
      <c r="P17" s="79"/>
      <c r="Q17" s="32">
        <f t="shared" si="9"/>
        <v>0.10999999999999999</v>
      </c>
      <c r="R17" s="65">
        <f t="shared" si="4"/>
        <v>0.59999999999999987</v>
      </c>
      <c r="S17" s="65">
        <f t="shared" si="5"/>
        <v>588.59999999999991</v>
      </c>
      <c r="T17" s="66">
        <f t="shared" si="10"/>
        <v>353.15999999999985</v>
      </c>
      <c r="U17" s="65">
        <f t="shared" si="6"/>
        <v>1.666666666666667</v>
      </c>
      <c r="V17" s="65">
        <f t="shared" si="11"/>
        <v>2777.7777777777787</v>
      </c>
      <c r="W17" s="65">
        <f t="shared" si="12"/>
        <v>1666.666666666667</v>
      </c>
      <c r="X17" s="91">
        <f t="shared" si="13"/>
        <v>2019.8266666666668</v>
      </c>
      <c r="Y17" s="1">
        <f t="shared" si="14"/>
        <v>0.25157888775625781</v>
      </c>
      <c r="AA17" s="65">
        <f t="shared" si="15"/>
        <v>0.59999999999999987</v>
      </c>
      <c r="AB17" s="65">
        <f t="shared" si="16"/>
        <v>588.59999999999991</v>
      </c>
      <c r="AC17" s="65">
        <f t="shared" si="17"/>
        <v>353.15999999999985</v>
      </c>
      <c r="AD17">
        <f t="shared" si="18"/>
        <v>3.3333333333333339</v>
      </c>
      <c r="AE17">
        <f t="shared" si="19"/>
        <v>11111.111111111115</v>
      </c>
      <c r="AF17">
        <f t="shared" si="20"/>
        <v>6666.6666666666679</v>
      </c>
      <c r="AG17" s="52">
        <f t="shared" si="21"/>
        <v>7019.8266666666677</v>
      </c>
    </row>
    <row r="18" spans="1:33" x14ac:dyDescent="0.25">
      <c r="A18" s="3" t="s">
        <v>22</v>
      </c>
      <c r="C18" s="32">
        <f t="shared" si="22"/>
        <v>0.12999999999999998</v>
      </c>
      <c r="D18" s="10">
        <f t="shared" si="23"/>
        <v>5</v>
      </c>
      <c r="E18" s="9">
        <f t="shared" si="7"/>
        <v>0.64999999999999991</v>
      </c>
      <c r="F18" s="1">
        <f t="shared" si="8"/>
        <v>1.5384615384615388</v>
      </c>
      <c r="H18" s="63">
        <f t="shared" si="0"/>
        <v>0.25063526530710722</v>
      </c>
      <c r="I18" s="2">
        <f t="shared" si="24"/>
        <v>-1.0943622449150592E-2</v>
      </c>
      <c r="J18" s="2"/>
      <c r="K18" t="str">
        <f t="shared" si="25"/>
        <v xml:space="preserve"> </v>
      </c>
      <c r="L18" s="75">
        <f t="shared" si="26"/>
        <v>0.11999999999999998</v>
      </c>
      <c r="M18" s="8">
        <f t="shared" si="1"/>
        <v>1.5384615384615388</v>
      </c>
      <c r="N18">
        <f t="shared" si="2"/>
        <v>3.0769230769230775</v>
      </c>
      <c r="O18" s="74">
        <f t="shared" si="3"/>
        <v>0.61254106122842911</v>
      </c>
      <c r="P18" s="79"/>
      <c r="Q18" s="32">
        <f t="shared" si="9"/>
        <v>0.11999999999999998</v>
      </c>
      <c r="R18" s="65">
        <f t="shared" si="4"/>
        <v>0.64999999999999991</v>
      </c>
      <c r="S18" s="65">
        <f t="shared" si="5"/>
        <v>637.65</v>
      </c>
      <c r="T18" s="66">
        <f t="shared" si="10"/>
        <v>414.47249999999991</v>
      </c>
      <c r="U18" s="65">
        <f t="shared" si="6"/>
        <v>1.5384615384615388</v>
      </c>
      <c r="V18" s="65">
        <f t="shared" si="11"/>
        <v>2366.8639053254446</v>
      </c>
      <c r="W18" s="65">
        <f t="shared" si="12"/>
        <v>1538.4615384615388</v>
      </c>
      <c r="X18" s="67">
        <f t="shared" si="13"/>
        <v>1952.9340384615386</v>
      </c>
      <c r="Y18" s="1">
        <f t="shared" si="14"/>
        <v>0.24063526530710727</v>
      </c>
      <c r="AA18" s="65">
        <f t="shared" si="15"/>
        <v>0.64999999999999991</v>
      </c>
      <c r="AB18" s="65">
        <f t="shared" si="16"/>
        <v>637.65</v>
      </c>
      <c r="AC18" s="65">
        <f t="shared" si="17"/>
        <v>414.47249999999991</v>
      </c>
      <c r="AD18">
        <f t="shared" si="18"/>
        <v>3.0769230769230775</v>
      </c>
      <c r="AE18">
        <f t="shared" si="19"/>
        <v>9467.4556213017786</v>
      </c>
      <c r="AF18">
        <f t="shared" si="20"/>
        <v>6153.8461538461552</v>
      </c>
      <c r="AG18" s="52">
        <f t="shared" si="21"/>
        <v>6568.318653846155</v>
      </c>
    </row>
    <row r="19" spans="1:33" x14ac:dyDescent="0.25">
      <c r="A19" s="3" t="s">
        <v>23</v>
      </c>
      <c r="B19" s="9"/>
      <c r="C19" s="32">
        <f t="shared" si="22"/>
        <v>0.13999999999999999</v>
      </c>
      <c r="D19" s="10">
        <f t="shared" si="23"/>
        <v>5</v>
      </c>
      <c r="E19" s="9">
        <f t="shared" si="7"/>
        <v>0.7</v>
      </c>
      <c r="F19" s="1">
        <f t="shared" si="8"/>
        <v>1.4285714285714286</v>
      </c>
      <c r="H19" s="63">
        <f t="shared" si="0"/>
        <v>0.24401714202500568</v>
      </c>
      <c r="I19" s="2">
        <f t="shared" si="24"/>
        <v>-6.6181232821015401E-3</v>
      </c>
      <c r="J19" s="2"/>
      <c r="K19" t="str">
        <f t="shared" si="25"/>
        <v xml:space="preserve"> </v>
      </c>
      <c r="L19" s="75">
        <f t="shared" si="26"/>
        <v>0.12999999999999998</v>
      </c>
      <c r="M19" s="8">
        <f t="shared" si="1"/>
        <v>1.4285714285714286</v>
      </c>
      <c r="N19">
        <f t="shared" si="2"/>
        <v>2.8571428571428572</v>
      </c>
      <c r="O19" s="74">
        <f t="shared" si="3"/>
        <v>0.55606856810002281</v>
      </c>
      <c r="P19" s="79"/>
      <c r="Q19" s="32">
        <f t="shared" si="9"/>
        <v>0.12999999999999998</v>
      </c>
      <c r="R19" s="65">
        <f t="shared" si="4"/>
        <v>0.7</v>
      </c>
      <c r="S19" s="65">
        <f t="shared" si="5"/>
        <v>686.69999999999993</v>
      </c>
      <c r="T19" s="66">
        <f t="shared" si="10"/>
        <v>480.68999999999994</v>
      </c>
      <c r="U19" s="65">
        <f t="shared" si="6"/>
        <v>1.4285714285714286</v>
      </c>
      <c r="V19" s="65">
        <f t="shared" si="11"/>
        <v>2040.8163265306123</v>
      </c>
      <c r="W19" s="65">
        <f t="shared" si="12"/>
        <v>1428.5714285714284</v>
      </c>
      <c r="X19" s="67">
        <f t="shared" si="13"/>
        <v>1909.2614285714285</v>
      </c>
      <c r="Y19" s="1">
        <f t="shared" si="14"/>
        <v>0.23401714202500568</v>
      </c>
      <c r="AA19" s="65">
        <f t="shared" si="15"/>
        <v>0.7</v>
      </c>
      <c r="AB19" s="65">
        <f t="shared" si="16"/>
        <v>686.69999999999993</v>
      </c>
      <c r="AC19" s="65">
        <f t="shared" si="17"/>
        <v>480.68999999999994</v>
      </c>
      <c r="AD19">
        <f t="shared" si="18"/>
        <v>2.8571428571428572</v>
      </c>
      <c r="AE19">
        <f t="shared" si="19"/>
        <v>8163.2653061224491</v>
      </c>
      <c r="AF19">
        <f t="shared" si="20"/>
        <v>5714.2857142857138</v>
      </c>
      <c r="AG19" s="52">
        <f t="shared" si="21"/>
        <v>6194.9757142857134</v>
      </c>
    </row>
    <row r="20" spans="1:33" x14ac:dyDescent="0.25">
      <c r="A20" s="3" t="s">
        <v>24</v>
      </c>
      <c r="C20" s="32">
        <f t="shared" ref="C20:C26" si="27">C19+$B$14</f>
        <v>0.15</v>
      </c>
      <c r="D20" s="10">
        <f t="shared" si="23"/>
        <v>5</v>
      </c>
      <c r="E20" s="9">
        <f t="shared" ref="E20:E26" si="28">C20*D20</f>
        <v>0.75</v>
      </c>
      <c r="F20" s="1">
        <f t="shared" si="8"/>
        <v>1.3333333333333333</v>
      </c>
      <c r="H20" s="63">
        <f t="shared" si="0"/>
        <v>0.24061048816400499</v>
      </c>
      <c r="I20" s="2">
        <f t="shared" si="24"/>
        <v>-3.4066538610006969E-3</v>
      </c>
      <c r="J20" s="2"/>
      <c r="K20" s="22" t="str">
        <f>IF((I19*I20)&lt;0,"ALTEZZACritica!!"," ")</f>
        <v xml:space="preserve"> </v>
      </c>
      <c r="L20" s="75">
        <f t="shared" si="26"/>
        <v>0.13999999999999999</v>
      </c>
      <c r="M20" s="8">
        <f t="shared" si="1"/>
        <v>1.3333333333333333</v>
      </c>
      <c r="N20">
        <f t="shared" si="2"/>
        <v>2.6666666666666665</v>
      </c>
      <c r="O20" s="74">
        <f t="shared" si="3"/>
        <v>0.51244195265601988</v>
      </c>
      <c r="P20" s="79"/>
      <c r="Q20" s="32">
        <f t="shared" si="9"/>
        <v>0.13999999999999999</v>
      </c>
      <c r="R20" s="65">
        <f t="shared" si="4"/>
        <v>0.75</v>
      </c>
      <c r="S20" s="65">
        <f t="shared" si="5"/>
        <v>735.75</v>
      </c>
      <c r="T20" s="66">
        <f t="shared" si="10"/>
        <v>551.8125</v>
      </c>
      <c r="U20" s="65">
        <f t="shared" si="6"/>
        <v>1.3333333333333333</v>
      </c>
      <c r="V20" s="65">
        <f t="shared" si="11"/>
        <v>1777.7777777777776</v>
      </c>
      <c r="W20" s="65">
        <f t="shared" si="12"/>
        <v>1333.3333333333333</v>
      </c>
      <c r="X20" s="67">
        <f t="shared" si="13"/>
        <v>1885.1458333333333</v>
      </c>
      <c r="Y20" s="27">
        <f t="shared" si="14"/>
        <v>0.23061048816400498</v>
      </c>
      <c r="AA20" s="65">
        <f t="shared" si="15"/>
        <v>0.75</v>
      </c>
      <c r="AB20" s="65">
        <f t="shared" si="16"/>
        <v>735.75</v>
      </c>
      <c r="AC20" s="65">
        <f t="shared" si="17"/>
        <v>551.8125</v>
      </c>
      <c r="AD20">
        <f t="shared" si="18"/>
        <v>2.6666666666666665</v>
      </c>
      <c r="AE20">
        <f t="shared" si="19"/>
        <v>7111.1111111111104</v>
      </c>
      <c r="AF20">
        <f t="shared" si="20"/>
        <v>5333.333333333333</v>
      </c>
      <c r="AG20" s="52">
        <f t="shared" si="21"/>
        <v>5885.145833333333</v>
      </c>
    </row>
    <row r="21" spans="1:33" x14ac:dyDescent="0.25">
      <c r="C21" s="32">
        <f t="shared" si="27"/>
        <v>0.16</v>
      </c>
      <c r="D21" s="10">
        <f t="shared" si="23"/>
        <v>5</v>
      </c>
      <c r="E21" s="9">
        <f t="shared" si="28"/>
        <v>0.8</v>
      </c>
      <c r="F21" s="1">
        <f t="shared" si="8"/>
        <v>1.25</v>
      </c>
      <c r="H21" s="63">
        <f t="shared" si="0"/>
        <v>0.239638124362895</v>
      </c>
      <c r="I21" s="2">
        <f t="shared" si="24"/>
        <v>-9.7236380110998777E-4</v>
      </c>
      <c r="J21" s="2"/>
      <c r="K21" t="str">
        <f>IF((I20*I21)&lt;0,"SezCritICA!!"," ")</f>
        <v xml:space="preserve"> </v>
      </c>
      <c r="L21" s="75">
        <f t="shared" si="26"/>
        <v>0.15</v>
      </c>
      <c r="M21" s="8">
        <f t="shared" si="1"/>
        <v>1.25</v>
      </c>
      <c r="N21">
        <f t="shared" si="2"/>
        <v>2.5</v>
      </c>
      <c r="O21" s="74">
        <f t="shared" si="3"/>
        <v>0.47855249745158002</v>
      </c>
      <c r="P21" s="79"/>
      <c r="Q21" s="109">
        <f t="shared" si="9"/>
        <v>0.15</v>
      </c>
      <c r="R21" s="110">
        <f t="shared" si="4"/>
        <v>0.8</v>
      </c>
      <c r="S21" s="110">
        <f t="shared" si="5"/>
        <v>784.80000000000007</v>
      </c>
      <c r="T21" s="111">
        <f t="shared" si="10"/>
        <v>627.84000000000015</v>
      </c>
      <c r="U21" s="110">
        <f t="shared" si="6"/>
        <v>1.25</v>
      </c>
      <c r="V21" s="110">
        <f t="shared" si="11"/>
        <v>1562.5</v>
      </c>
      <c r="W21" s="110">
        <f t="shared" si="12"/>
        <v>1250</v>
      </c>
      <c r="X21" s="112">
        <f t="shared" si="13"/>
        <v>1877.8400000000001</v>
      </c>
      <c r="Y21" s="113">
        <f t="shared" si="14"/>
        <v>0.22963812436289499</v>
      </c>
      <c r="AA21" s="65">
        <f t="shared" si="15"/>
        <v>0.8</v>
      </c>
      <c r="AB21" s="65">
        <f t="shared" si="16"/>
        <v>784.80000000000007</v>
      </c>
      <c r="AC21" s="65">
        <f t="shared" si="17"/>
        <v>627.84000000000015</v>
      </c>
      <c r="AD21">
        <f t="shared" si="18"/>
        <v>2.5</v>
      </c>
      <c r="AE21">
        <f t="shared" si="19"/>
        <v>6250</v>
      </c>
      <c r="AF21">
        <f t="shared" si="20"/>
        <v>5000</v>
      </c>
      <c r="AG21" s="52">
        <f t="shared" si="21"/>
        <v>5627.84</v>
      </c>
    </row>
    <row r="22" spans="1:33" x14ac:dyDescent="0.25">
      <c r="C22" s="32">
        <f t="shared" si="27"/>
        <v>0.17</v>
      </c>
      <c r="D22" s="10">
        <f t="shared" si="23"/>
        <v>5</v>
      </c>
      <c r="E22" s="9">
        <f t="shared" si="28"/>
        <v>0.85000000000000009</v>
      </c>
      <c r="F22" s="1">
        <f t="shared" si="8"/>
        <v>1.1764705882352939</v>
      </c>
      <c r="H22" s="63">
        <f t="shared" si="0"/>
        <v>0.24054449770554021</v>
      </c>
      <c r="I22" s="2">
        <f t="shared" si="24"/>
        <v>9.0637334264520586E-4</v>
      </c>
      <c r="J22" s="2"/>
      <c r="K22" t="str">
        <f>IF((I21*I22)&lt;0,"SezCritICA!!"," ")</f>
        <v>SezCritICA!!</v>
      </c>
      <c r="L22" s="75">
        <f t="shared" si="26"/>
        <v>0.16</v>
      </c>
      <c r="M22" s="8">
        <f t="shared" si="1"/>
        <v>1.1764705882352939</v>
      </c>
      <c r="N22">
        <f t="shared" si="2"/>
        <v>2.3529411764705879</v>
      </c>
      <c r="O22" s="74">
        <f t="shared" si="3"/>
        <v>0.45217799082216081</v>
      </c>
      <c r="P22" s="79"/>
      <c r="Q22" s="109">
        <f t="shared" si="9"/>
        <v>0.16</v>
      </c>
      <c r="R22" s="110">
        <f t="shared" si="4"/>
        <v>0.85000000000000009</v>
      </c>
      <c r="S22" s="110">
        <f t="shared" si="5"/>
        <v>833.85000000000014</v>
      </c>
      <c r="T22" s="111">
        <f t="shared" si="10"/>
        <v>708.77250000000015</v>
      </c>
      <c r="U22" s="110">
        <f t="shared" si="6"/>
        <v>1.1764705882352939</v>
      </c>
      <c r="V22" s="110">
        <f t="shared" si="11"/>
        <v>1384.0830449826985</v>
      </c>
      <c r="W22" s="110">
        <f t="shared" si="12"/>
        <v>1176.4705882352939</v>
      </c>
      <c r="X22" s="112">
        <f t="shared" si="13"/>
        <v>1885.2430882352942</v>
      </c>
      <c r="Y22" s="113">
        <f t="shared" si="14"/>
        <v>0.2305444977055402</v>
      </c>
      <c r="Z22" s="31"/>
      <c r="AA22" s="65">
        <f t="shared" si="15"/>
        <v>0.85000000000000009</v>
      </c>
      <c r="AB22" s="65">
        <f t="shared" si="16"/>
        <v>833.85000000000014</v>
      </c>
      <c r="AC22" s="65">
        <f t="shared" si="17"/>
        <v>708.77250000000015</v>
      </c>
      <c r="AD22">
        <f t="shared" si="18"/>
        <v>2.3529411764705879</v>
      </c>
      <c r="AE22">
        <f t="shared" si="19"/>
        <v>5536.3321799307942</v>
      </c>
      <c r="AF22">
        <f t="shared" si="20"/>
        <v>4705.8823529411757</v>
      </c>
      <c r="AG22" s="52">
        <f t="shared" si="21"/>
        <v>5414.6548529411757</v>
      </c>
    </row>
    <row r="23" spans="1:33" x14ac:dyDescent="0.25">
      <c r="C23" s="32">
        <f t="shared" si="27"/>
        <v>0.18000000000000002</v>
      </c>
      <c r="D23" s="10">
        <f t="shared" si="23"/>
        <v>5</v>
      </c>
      <c r="E23" s="9">
        <f t="shared" si="28"/>
        <v>0.90000000000000013</v>
      </c>
      <c r="F23" s="1">
        <f t="shared" si="8"/>
        <v>1.1111111111111109</v>
      </c>
      <c r="H23" s="63">
        <f t="shared" si="0"/>
        <v>0.24292395011389234</v>
      </c>
      <c r="I23" s="2">
        <f t="shared" si="24"/>
        <v>2.379452408352134E-3</v>
      </c>
      <c r="J23" s="2"/>
      <c r="K23" t="str">
        <f>IF((I22*I23)&lt;0,"SezCrit!!"," ")</f>
        <v xml:space="preserve"> </v>
      </c>
      <c r="L23" s="75">
        <f t="shared" si="26"/>
        <v>0.17</v>
      </c>
      <c r="M23" s="8">
        <f t="shared" si="1"/>
        <v>1.1111111111111109</v>
      </c>
      <c r="N23">
        <f t="shared" si="2"/>
        <v>2.2222222222222219</v>
      </c>
      <c r="O23" s="74">
        <f t="shared" si="3"/>
        <v>0.43169580045556932</v>
      </c>
      <c r="P23" s="79"/>
      <c r="Q23" s="32">
        <f t="shared" si="9"/>
        <v>0.17</v>
      </c>
      <c r="R23" s="65">
        <f t="shared" si="4"/>
        <v>0.90000000000000013</v>
      </c>
      <c r="S23" s="65">
        <f t="shared" si="5"/>
        <v>882.90000000000009</v>
      </c>
      <c r="T23" s="66">
        <f t="shared" si="10"/>
        <v>794.61000000000024</v>
      </c>
      <c r="U23" s="65">
        <f t="shared" si="6"/>
        <v>1.1111111111111109</v>
      </c>
      <c r="V23" s="65">
        <f t="shared" si="11"/>
        <v>1234.5679012345677</v>
      </c>
      <c r="W23" s="65">
        <f t="shared" si="12"/>
        <v>1111.1111111111111</v>
      </c>
      <c r="X23" s="67">
        <f t="shared" si="13"/>
        <v>1905.7211111111114</v>
      </c>
      <c r="Y23" s="27">
        <f t="shared" si="14"/>
        <v>0.23292395011389233</v>
      </c>
      <c r="AA23" s="65">
        <f t="shared" si="15"/>
        <v>0.90000000000000013</v>
      </c>
      <c r="AB23" s="65">
        <f t="shared" si="16"/>
        <v>882.90000000000009</v>
      </c>
      <c r="AC23" s="65">
        <f t="shared" si="17"/>
        <v>794.61000000000024</v>
      </c>
      <c r="AD23">
        <f t="shared" si="18"/>
        <v>2.2222222222222219</v>
      </c>
      <c r="AE23">
        <f t="shared" si="19"/>
        <v>4938.2716049382707</v>
      </c>
      <c r="AF23">
        <f t="shared" si="20"/>
        <v>4444.4444444444443</v>
      </c>
      <c r="AG23" s="52">
        <f t="shared" si="21"/>
        <v>5239.0544444444449</v>
      </c>
    </row>
    <row r="24" spans="1:33" x14ac:dyDescent="0.25">
      <c r="C24" s="32">
        <f t="shared" si="27"/>
        <v>0.19000000000000003</v>
      </c>
      <c r="D24" s="10">
        <f t="shared" si="23"/>
        <v>5</v>
      </c>
      <c r="E24" s="9">
        <f t="shared" si="28"/>
        <v>0.95000000000000018</v>
      </c>
      <c r="F24" s="1">
        <f t="shared" si="8"/>
        <v>1.0526315789473681</v>
      </c>
      <c r="H24" s="63">
        <f t="shared" si="0"/>
        <v>0.24647468098864578</v>
      </c>
      <c r="I24" s="2">
        <f t="shared" si="24"/>
        <v>3.5507308747534383E-3</v>
      </c>
      <c r="J24" s="2"/>
      <c r="K24" t="str">
        <f t="shared" si="25"/>
        <v xml:space="preserve"> </v>
      </c>
      <c r="L24" s="75">
        <f t="shared" si="26"/>
        <v>0.18000000000000002</v>
      </c>
      <c r="M24" s="8">
        <f t="shared" si="1"/>
        <v>1.0526315789473681</v>
      </c>
      <c r="N24">
        <f t="shared" si="2"/>
        <v>2.1052631578947363</v>
      </c>
      <c r="O24" s="74">
        <f t="shared" si="3"/>
        <v>0.41589872395458294</v>
      </c>
      <c r="P24" s="79"/>
      <c r="Q24" s="32">
        <f t="shared" si="9"/>
        <v>0.18000000000000002</v>
      </c>
      <c r="R24" s="65">
        <f t="shared" si="4"/>
        <v>0.95000000000000018</v>
      </c>
      <c r="S24" s="65">
        <f t="shared" si="5"/>
        <v>931.95000000000016</v>
      </c>
      <c r="T24" s="66">
        <f t="shared" si="10"/>
        <v>885.3525000000003</v>
      </c>
      <c r="U24" s="65">
        <f t="shared" si="6"/>
        <v>1.0526315789473681</v>
      </c>
      <c r="V24" s="65">
        <f t="shared" si="11"/>
        <v>1108.0332409972293</v>
      </c>
      <c r="W24" s="65">
        <f t="shared" si="12"/>
        <v>1052.6315789473681</v>
      </c>
      <c r="X24" s="67">
        <f t="shared" si="13"/>
        <v>1937.9840789473683</v>
      </c>
      <c r="Y24" s="27">
        <f t="shared" si="14"/>
        <v>0.23647468098864577</v>
      </c>
      <c r="AA24" s="65">
        <f t="shared" si="15"/>
        <v>0.95000000000000018</v>
      </c>
      <c r="AB24" s="65">
        <f t="shared" si="16"/>
        <v>931.95000000000016</v>
      </c>
      <c r="AC24" s="65">
        <f t="shared" si="17"/>
        <v>885.3525000000003</v>
      </c>
      <c r="AD24">
        <f t="shared" si="18"/>
        <v>2.1052631578947363</v>
      </c>
      <c r="AE24">
        <f t="shared" si="19"/>
        <v>4432.1329639889173</v>
      </c>
      <c r="AF24">
        <f t="shared" si="20"/>
        <v>4210.5263157894724</v>
      </c>
      <c r="AG24" s="52">
        <f t="shared" si="21"/>
        <v>5095.8788157894724</v>
      </c>
    </row>
    <row r="25" spans="1:33" s="40" customFormat="1" x14ac:dyDescent="0.25">
      <c r="C25" s="85">
        <f t="shared" si="27"/>
        <v>0.20000000000000004</v>
      </c>
      <c r="D25" s="85">
        <f t="shared" si="23"/>
        <v>5</v>
      </c>
      <c r="E25" s="40">
        <f t="shared" si="28"/>
        <v>1.0000000000000002</v>
      </c>
      <c r="F25" s="76">
        <f t="shared" si="8"/>
        <v>0.99999999999999978</v>
      </c>
      <c r="H25" s="71">
        <f t="shared" si="0"/>
        <v>0.25096839959225281</v>
      </c>
      <c r="I25" s="72">
        <f t="shared" si="24"/>
        <v>4.4937186036070331E-3</v>
      </c>
      <c r="J25" s="72"/>
      <c r="K25" s="40" t="str">
        <f t="shared" si="25"/>
        <v xml:space="preserve"> </v>
      </c>
      <c r="L25" s="86">
        <f t="shared" si="26"/>
        <v>0.19000000000000003</v>
      </c>
      <c r="M25" s="87">
        <f t="shared" si="1"/>
        <v>0.99999999999999978</v>
      </c>
      <c r="N25" s="40">
        <f t="shared" si="2"/>
        <v>1.9999999999999996</v>
      </c>
      <c r="O25" s="88">
        <f t="shared" si="3"/>
        <v>0.40387359836901116</v>
      </c>
      <c r="P25" s="88"/>
      <c r="Q25" s="85">
        <f t="shared" si="9"/>
        <v>0.19000000000000003</v>
      </c>
      <c r="R25" s="89">
        <f t="shared" si="4"/>
        <v>1.0000000000000002</v>
      </c>
      <c r="S25" s="89">
        <f t="shared" si="5"/>
        <v>981.00000000000023</v>
      </c>
      <c r="T25" s="90">
        <f t="shared" si="10"/>
        <v>981.00000000000045</v>
      </c>
      <c r="U25" s="89">
        <f t="shared" si="6"/>
        <v>0.99999999999999978</v>
      </c>
      <c r="V25" s="89">
        <f t="shared" si="11"/>
        <v>999.99999999999955</v>
      </c>
      <c r="W25" s="89">
        <f t="shared" si="12"/>
        <v>999.99999999999977</v>
      </c>
      <c r="X25" s="91">
        <f t="shared" si="13"/>
        <v>1981.0000000000002</v>
      </c>
      <c r="Y25" s="108">
        <f t="shared" si="14"/>
        <v>0.2409683995922528</v>
      </c>
      <c r="AA25" s="89">
        <f t="shared" si="15"/>
        <v>1.0000000000000002</v>
      </c>
      <c r="AB25" s="89">
        <f t="shared" si="16"/>
        <v>981.00000000000023</v>
      </c>
      <c r="AC25" s="89">
        <f t="shared" si="17"/>
        <v>981.00000000000045</v>
      </c>
      <c r="AD25" s="40">
        <f t="shared" si="18"/>
        <v>1.9999999999999996</v>
      </c>
      <c r="AE25" s="40">
        <f t="shared" si="19"/>
        <v>3999.9999999999982</v>
      </c>
      <c r="AF25" s="40">
        <f t="shared" si="20"/>
        <v>3999.9999999999991</v>
      </c>
      <c r="AG25" s="41">
        <f t="shared" si="21"/>
        <v>4981</v>
      </c>
    </row>
    <row r="26" spans="1:33" s="40" customFormat="1" x14ac:dyDescent="0.25">
      <c r="C26" s="85">
        <f t="shared" si="27"/>
        <v>0.21000000000000005</v>
      </c>
      <c r="D26" s="85">
        <f t="shared" si="23"/>
        <v>5</v>
      </c>
      <c r="E26" s="40">
        <f t="shared" si="28"/>
        <v>1.0500000000000003</v>
      </c>
      <c r="F26" s="76">
        <f t="shared" si="8"/>
        <v>0.95238095238095211</v>
      </c>
      <c r="H26" s="71">
        <f t="shared" si="0"/>
        <v>0.25622984090000256</v>
      </c>
      <c r="I26" s="72">
        <f t="shared" si="24"/>
        <v>5.2614413077497479E-3</v>
      </c>
      <c r="J26" s="72"/>
      <c r="K26" s="40" t="str">
        <f t="shared" si="25"/>
        <v xml:space="preserve"> </v>
      </c>
      <c r="L26" s="86">
        <f t="shared" si="26"/>
        <v>0.20000000000000004</v>
      </c>
      <c r="M26" s="87">
        <f t="shared" si="1"/>
        <v>0.95238095238095211</v>
      </c>
      <c r="N26" s="40">
        <f t="shared" si="2"/>
        <v>1.9047619047619042</v>
      </c>
      <c r="O26" s="88">
        <f t="shared" si="3"/>
        <v>0.39491936360001012</v>
      </c>
      <c r="P26" s="88"/>
      <c r="Q26" s="85">
        <f t="shared" si="9"/>
        <v>0.20000000000000004</v>
      </c>
      <c r="R26" s="89">
        <f t="shared" si="4"/>
        <v>1.0500000000000003</v>
      </c>
      <c r="S26" s="89">
        <f t="shared" si="5"/>
        <v>1030.0500000000004</v>
      </c>
      <c r="T26" s="90">
        <f t="shared" si="10"/>
        <v>1081.5525000000007</v>
      </c>
      <c r="U26" s="89">
        <f t="shared" si="6"/>
        <v>0.95238095238095211</v>
      </c>
      <c r="V26" s="89">
        <f t="shared" si="11"/>
        <v>907.02947845804943</v>
      </c>
      <c r="W26" s="89">
        <f t="shared" si="12"/>
        <v>952.38095238095218</v>
      </c>
      <c r="X26" s="91">
        <f t="shared" si="13"/>
        <v>2033.933452380953</v>
      </c>
      <c r="Y26" s="108">
        <f t="shared" si="14"/>
        <v>0.24622984090000255</v>
      </c>
      <c r="AA26" s="89">
        <f t="shared" si="15"/>
        <v>1.0500000000000003</v>
      </c>
      <c r="AB26" s="89">
        <f t="shared" si="16"/>
        <v>1030.0500000000004</v>
      </c>
      <c r="AC26" s="89">
        <f t="shared" si="17"/>
        <v>1081.5525000000007</v>
      </c>
      <c r="AD26" s="40">
        <f t="shared" si="18"/>
        <v>1.9047619047619042</v>
      </c>
      <c r="AE26" s="40">
        <f t="shared" si="19"/>
        <v>3628.1179138321977</v>
      </c>
      <c r="AF26" s="40">
        <f t="shared" si="20"/>
        <v>3809.5238095238087</v>
      </c>
      <c r="AG26" s="41">
        <f t="shared" si="21"/>
        <v>4891.076309523809</v>
      </c>
    </row>
    <row r="27" spans="1:33" x14ac:dyDescent="0.25">
      <c r="C27" s="32">
        <f>C26+$B$14</f>
        <v>0.22000000000000006</v>
      </c>
      <c r="D27" s="10">
        <f t="shared" si="23"/>
        <v>5</v>
      </c>
      <c r="E27" s="9">
        <f>C27*D27</f>
        <v>1.1000000000000003</v>
      </c>
      <c r="F27" s="1">
        <f t="shared" si="8"/>
        <v>0.90909090909090884</v>
      </c>
      <c r="H27" s="63">
        <f t="shared" si="0"/>
        <v>0.26212264429111803</v>
      </c>
      <c r="I27" s="2">
        <f t="shared" si="24"/>
        <v>5.8928033911154754E-3</v>
      </c>
      <c r="J27" s="2"/>
      <c r="K27" t="str">
        <f t="shared" si="25"/>
        <v xml:space="preserve"> </v>
      </c>
      <c r="L27" s="75">
        <f t="shared" si="26"/>
        <v>0.21000000000000005</v>
      </c>
      <c r="M27" s="8">
        <f t="shared" si="1"/>
        <v>0.90909090909090884</v>
      </c>
      <c r="N27">
        <f t="shared" si="2"/>
        <v>1.8181818181818177</v>
      </c>
      <c r="O27" s="74">
        <f t="shared" si="3"/>
        <v>0.38849057716447205</v>
      </c>
      <c r="P27" s="79"/>
      <c r="Q27" s="32">
        <f t="shared" si="9"/>
        <v>0.21000000000000005</v>
      </c>
      <c r="R27" s="65">
        <f t="shared" si="4"/>
        <v>1.1000000000000003</v>
      </c>
      <c r="S27" s="65">
        <f t="shared" si="5"/>
        <v>1079.1000000000004</v>
      </c>
      <c r="T27" s="66">
        <f t="shared" si="10"/>
        <v>1187.0100000000007</v>
      </c>
      <c r="U27" s="65">
        <f t="shared" si="6"/>
        <v>0.90909090909090884</v>
      </c>
      <c r="V27" s="65">
        <f t="shared" si="11"/>
        <v>826.44628099173508</v>
      </c>
      <c r="W27" s="65">
        <f t="shared" si="12"/>
        <v>909.09090909090889</v>
      </c>
      <c r="X27" s="67">
        <f t="shared" si="13"/>
        <v>2096.1009090909097</v>
      </c>
      <c r="Y27" s="27">
        <f t="shared" si="14"/>
        <v>0.25212264429111803</v>
      </c>
      <c r="AA27" s="65">
        <f t="shared" si="15"/>
        <v>1.1000000000000003</v>
      </c>
      <c r="AB27" s="65">
        <f t="shared" si="16"/>
        <v>1079.1000000000004</v>
      </c>
      <c r="AC27" s="65">
        <f t="shared" si="17"/>
        <v>1187.0100000000007</v>
      </c>
      <c r="AD27">
        <f t="shared" si="18"/>
        <v>1.8181818181818177</v>
      </c>
      <c r="AE27">
        <f t="shared" si="19"/>
        <v>3305.7851239669403</v>
      </c>
      <c r="AF27">
        <f t="shared" si="20"/>
        <v>3636.3636363636356</v>
      </c>
      <c r="AG27" s="52">
        <f t="shared" si="21"/>
        <v>4823.3736363636363</v>
      </c>
    </row>
    <row r="28" spans="1:33" x14ac:dyDescent="0.25">
      <c r="C28" s="32">
        <f>C27+$B$14</f>
        <v>0.23000000000000007</v>
      </c>
      <c r="D28" s="10">
        <f t="shared" si="23"/>
        <v>5</v>
      </c>
      <c r="E28" s="9">
        <f>C28*D28</f>
        <v>1.1500000000000004</v>
      </c>
      <c r="F28" s="1">
        <f t="shared" si="8"/>
        <v>0.8695652173913041</v>
      </c>
      <c r="H28" s="63">
        <f t="shared" si="0"/>
        <v>0.26853943258393409</v>
      </c>
      <c r="I28" s="15">
        <f t="shared" si="24"/>
        <v>6.4167882928160558E-3</v>
      </c>
      <c r="J28" s="15"/>
      <c r="K28" t="str">
        <f t="shared" si="25"/>
        <v xml:space="preserve"> </v>
      </c>
      <c r="L28" s="75">
        <f t="shared" si="26"/>
        <v>0.22000000000000006</v>
      </c>
      <c r="M28" s="8">
        <f t="shared" si="1"/>
        <v>0.8695652173913041</v>
      </c>
      <c r="N28">
        <f t="shared" si="2"/>
        <v>1.7391304347826082</v>
      </c>
      <c r="O28" s="74">
        <f t="shared" si="3"/>
        <v>0.38415773033573625</v>
      </c>
      <c r="P28" s="79"/>
      <c r="Q28" s="32">
        <f t="shared" si="9"/>
        <v>0.22000000000000006</v>
      </c>
      <c r="R28" s="65">
        <f t="shared" si="4"/>
        <v>1.1500000000000004</v>
      </c>
      <c r="S28" s="65">
        <f t="shared" si="5"/>
        <v>1128.1500000000003</v>
      </c>
      <c r="T28" s="66">
        <f t="shared" si="10"/>
        <v>1297.3725000000009</v>
      </c>
      <c r="U28" s="65">
        <f t="shared" si="6"/>
        <v>0.8695652173913041</v>
      </c>
      <c r="V28" s="65">
        <f t="shared" si="11"/>
        <v>756.14366729678591</v>
      </c>
      <c r="W28" s="65">
        <f t="shared" si="12"/>
        <v>869.56521739130403</v>
      </c>
      <c r="X28" s="67">
        <f t="shared" si="13"/>
        <v>2166.9377173913049</v>
      </c>
      <c r="Y28" s="1">
        <f t="shared" si="14"/>
        <v>0.25853943258393408</v>
      </c>
      <c r="AA28" s="65">
        <f t="shared" si="15"/>
        <v>1.1500000000000004</v>
      </c>
      <c r="AB28" s="65">
        <f t="shared" si="16"/>
        <v>1128.1500000000003</v>
      </c>
      <c r="AC28" s="65">
        <f t="shared" si="17"/>
        <v>1297.3725000000009</v>
      </c>
      <c r="AD28">
        <f t="shared" si="18"/>
        <v>1.7391304347826082</v>
      </c>
      <c r="AE28">
        <f t="shared" si="19"/>
        <v>3024.5746691871436</v>
      </c>
      <c r="AF28">
        <f t="shared" si="20"/>
        <v>3478.2608695652161</v>
      </c>
      <c r="AG28" s="52">
        <f t="shared" si="21"/>
        <v>4775.6333695652174</v>
      </c>
    </row>
    <row r="29" spans="1:33" x14ac:dyDescent="0.25">
      <c r="C29" s="32">
        <f>C28+$B$14</f>
        <v>0.24000000000000007</v>
      </c>
      <c r="D29" s="10">
        <f t="shared" si="23"/>
        <v>5</v>
      </c>
      <c r="E29" s="9">
        <f>C29*D29</f>
        <v>1.2000000000000004</v>
      </c>
      <c r="F29" s="1">
        <f t="shared" si="8"/>
        <v>0.83333333333333304</v>
      </c>
      <c r="H29" s="63">
        <f t="shared" si="0"/>
        <v>0.2753947219390645</v>
      </c>
      <c r="I29" s="15">
        <f t="shared" si="24"/>
        <v>6.8552893551304117E-3</v>
      </c>
      <c r="J29" s="15"/>
      <c r="K29" t="str">
        <f t="shared" si="25"/>
        <v xml:space="preserve"> </v>
      </c>
      <c r="L29" s="75">
        <f t="shared" si="26"/>
        <v>0.23000000000000007</v>
      </c>
      <c r="M29" s="8">
        <f t="shared" si="1"/>
        <v>0.83333333333333304</v>
      </c>
      <c r="N29">
        <f t="shared" si="2"/>
        <v>1.6666666666666661</v>
      </c>
      <c r="O29" s="74">
        <f t="shared" si="3"/>
        <v>0.38157888775625776</v>
      </c>
      <c r="P29" s="79"/>
      <c r="Q29" s="32">
        <f t="shared" si="9"/>
        <v>0.23000000000000007</v>
      </c>
      <c r="R29" s="65">
        <f t="shared" si="4"/>
        <v>1.2000000000000004</v>
      </c>
      <c r="S29" s="65">
        <f t="shared" si="5"/>
        <v>1177.2000000000005</v>
      </c>
      <c r="T29" s="66">
        <f t="shared" si="10"/>
        <v>1412.640000000001</v>
      </c>
      <c r="U29" s="65">
        <f t="shared" si="6"/>
        <v>0.83333333333333304</v>
      </c>
      <c r="V29" s="65">
        <f t="shared" si="11"/>
        <v>694.444444444444</v>
      </c>
      <c r="W29" s="65">
        <f t="shared" si="12"/>
        <v>833.33333333333303</v>
      </c>
      <c r="X29" s="67">
        <f t="shared" si="13"/>
        <v>2245.9733333333343</v>
      </c>
      <c r="Y29" s="1">
        <f t="shared" si="14"/>
        <v>0.26539472193906449</v>
      </c>
      <c r="AA29" s="65">
        <f t="shared" si="15"/>
        <v>1.2000000000000004</v>
      </c>
      <c r="AB29" s="65">
        <f t="shared" si="16"/>
        <v>1177.2000000000005</v>
      </c>
      <c r="AC29" s="65">
        <f t="shared" si="17"/>
        <v>1412.640000000001</v>
      </c>
      <c r="AD29">
        <f t="shared" si="18"/>
        <v>1.6666666666666661</v>
      </c>
      <c r="AE29">
        <f t="shared" si="19"/>
        <v>2777.777777777776</v>
      </c>
      <c r="AF29">
        <f t="shared" si="20"/>
        <v>3333.3333333333321</v>
      </c>
      <c r="AG29" s="52">
        <f t="shared" si="21"/>
        <v>4745.9733333333334</v>
      </c>
    </row>
    <row r="30" spans="1:33" x14ac:dyDescent="0.25">
      <c r="C30" s="32">
        <f>C29+$B$14</f>
        <v>0.25000000000000006</v>
      </c>
      <c r="D30" s="10">
        <f t="shared" si="23"/>
        <v>5</v>
      </c>
      <c r="E30" s="9">
        <f>C30*D30</f>
        <v>1.2500000000000002</v>
      </c>
      <c r="F30" s="1">
        <f t="shared" si="8"/>
        <v>0.79999999999999982</v>
      </c>
      <c r="H30" s="63">
        <f t="shared" si="0"/>
        <v>0.28261977573904185</v>
      </c>
      <c r="I30" s="15">
        <f t="shared" si="24"/>
        <v>7.2250537999773434E-3</v>
      </c>
      <c r="J30" s="15"/>
      <c r="K30" t="str">
        <f t="shared" si="25"/>
        <v xml:space="preserve"> </v>
      </c>
      <c r="L30" s="75">
        <f t="shared" si="26"/>
        <v>0.24000000000000007</v>
      </c>
      <c r="M30" s="8">
        <f t="shared" si="1"/>
        <v>0.79999999999999982</v>
      </c>
      <c r="N30">
        <f t="shared" si="2"/>
        <v>1.5999999999999996</v>
      </c>
      <c r="O30" s="74">
        <f t="shared" si="3"/>
        <v>0.38047910295616716</v>
      </c>
      <c r="P30" s="79"/>
      <c r="Q30" s="32">
        <f t="shared" si="9"/>
        <v>0.24000000000000007</v>
      </c>
      <c r="R30" s="65">
        <f t="shared" si="4"/>
        <v>1.2500000000000002</v>
      </c>
      <c r="S30" s="65">
        <f t="shared" si="5"/>
        <v>1226.2500000000002</v>
      </c>
      <c r="T30" s="66">
        <f t="shared" si="10"/>
        <v>1532.8125000000005</v>
      </c>
      <c r="U30" s="65">
        <f t="shared" si="6"/>
        <v>0.79999999999999982</v>
      </c>
      <c r="V30" s="65">
        <f t="shared" si="11"/>
        <v>639.99999999999966</v>
      </c>
      <c r="W30" s="65">
        <f t="shared" si="12"/>
        <v>799.99999999999977</v>
      </c>
      <c r="X30" s="67">
        <f t="shared" si="13"/>
        <v>2332.8125</v>
      </c>
      <c r="Y30" s="1">
        <f t="shared" si="14"/>
        <v>0.27261977573904184</v>
      </c>
      <c r="AA30" s="65">
        <f t="shared" si="15"/>
        <v>1.2500000000000002</v>
      </c>
      <c r="AB30" s="65">
        <f t="shared" si="16"/>
        <v>1226.2500000000002</v>
      </c>
      <c r="AC30" s="65">
        <f t="shared" si="17"/>
        <v>1532.8125000000005</v>
      </c>
      <c r="AD30">
        <f t="shared" si="18"/>
        <v>1.5999999999999996</v>
      </c>
      <c r="AE30">
        <f t="shared" si="19"/>
        <v>2559.9999999999986</v>
      </c>
      <c r="AF30">
        <f t="shared" si="20"/>
        <v>3199.9999999999991</v>
      </c>
      <c r="AG30" s="52">
        <f t="shared" si="21"/>
        <v>4732.8125</v>
      </c>
    </row>
    <row r="31" spans="1:33" x14ac:dyDescent="0.25">
      <c r="C31" s="32">
        <f>C30+$B$14</f>
        <v>0.26000000000000006</v>
      </c>
      <c r="D31" s="10">
        <f t="shared" si="23"/>
        <v>5</v>
      </c>
      <c r="E31" s="9">
        <f>C31*D31</f>
        <v>1.3000000000000003</v>
      </c>
      <c r="F31" s="1">
        <f t="shared" si="8"/>
        <v>0.76923076923076905</v>
      </c>
      <c r="H31" s="63">
        <f t="shared" si="0"/>
        <v>0.29015881632677687</v>
      </c>
      <c r="I31" s="15">
        <f t="shared" si="24"/>
        <v>7.5390405877350242E-3</v>
      </c>
      <c r="J31" s="15"/>
      <c r="K31" t="str">
        <f t="shared" si="25"/>
        <v xml:space="preserve"> </v>
      </c>
      <c r="L31" s="75">
        <f t="shared" si="26"/>
        <v>0.25000000000000006</v>
      </c>
      <c r="M31" s="8">
        <f t="shared" si="1"/>
        <v>0.76923076923076905</v>
      </c>
      <c r="N31">
        <f t="shared" si="2"/>
        <v>1.5384615384615381</v>
      </c>
      <c r="O31" s="74">
        <f t="shared" si="3"/>
        <v>0.38063526530710723</v>
      </c>
      <c r="P31" s="79"/>
      <c r="Q31" s="32">
        <f t="shared" si="9"/>
        <v>0.25000000000000006</v>
      </c>
      <c r="R31" s="65">
        <f t="shared" si="4"/>
        <v>1.3000000000000003</v>
      </c>
      <c r="S31" s="65">
        <f t="shared" si="5"/>
        <v>1275.3000000000004</v>
      </c>
      <c r="T31" s="66">
        <f t="shared" si="10"/>
        <v>1657.8900000000008</v>
      </c>
      <c r="U31" s="65">
        <f t="shared" si="6"/>
        <v>0.76923076923076905</v>
      </c>
      <c r="V31" s="65">
        <f t="shared" si="11"/>
        <v>591.71597633136059</v>
      </c>
      <c r="W31" s="65">
        <f t="shared" si="12"/>
        <v>769.23076923076894</v>
      </c>
      <c r="X31" s="112">
        <f t="shared" si="13"/>
        <v>2427.1207692307698</v>
      </c>
      <c r="Y31" s="1">
        <f t="shared" si="14"/>
        <v>0.28015881632677686</v>
      </c>
      <c r="AA31" s="65">
        <f t="shared" si="15"/>
        <v>1.3000000000000003</v>
      </c>
      <c r="AB31" s="65">
        <f t="shared" si="16"/>
        <v>1275.3000000000004</v>
      </c>
      <c r="AC31" s="65">
        <f t="shared" si="17"/>
        <v>1657.8900000000008</v>
      </c>
      <c r="AD31">
        <f t="shared" si="18"/>
        <v>1.5384615384615381</v>
      </c>
      <c r="AE31">
        <f t="shared" si="19"/>
        <v>2366.8639053254424</v>
      </c>
      <c r="AF31">
        <f t="shared" si="20"/>
        <v>3076.9230769230758</v>
      </c>
      <c r="AG31" s="52">
        <f t="shared" si="21"/>
        <v>4734.8130769230766</v>
      </c>
    </row>
    <row r="32" spans="1:33" x14ac:dyDescent="0.25">
      <c r="C32" s="32">
        <f t="shared" ref="C32:C70" si="29">C31+$B$14</f>
        <v>0.27000000000000007</v>
      </c>
      <c r="D32" s="10">
        <f t="shared" si="23"/>
        <v>5</v>
      </c>
      <c r="E32" s="9">
        <f t="shared" ref="E32:E42" si="30">C32*D32</f>
        <v>1.3500000000000003</v>
      </c>
      <c r="F32" s="1">
        <f t="shared" si="8"/>
        <v>0.74074074074074059</v>
      </c>
      <c r="H32" s="63">
        <f t="shared" si="0"/>
        <v>0.29796620005061891</v>
      </c>
      <c r="I32" s="15">
        <f t="shared" ref="I32:I42" si="31">H32-H31</f>
        <v>7.8073837238420429E-3</v>
      </c>
      <c r="J32" s="15"/>
      <c r="K32" t="str">
        <f t="shared" si="25"/>
        <v xml:space="preserve"> </v>
      </c>
      <c r="L32" s="75">
        <f t="shared" si="26"/>
        <v>0.26000000000000006</v>
      </c>
      <c r="M32" s="8">
        <f t="shared" si="1"/>
        <v>0.74074074074074059</v>
      </c>
      <c r="N32">
        <f t="shared" si="2"/>
        <v>1.4814814814814812</v>
      </c>
      <c r="O32" s="74">
        <f t="shared" si="3"/>
        <v>0.38186480020247532</v>
      </c>
      <c r="P32" s="79"/>
      <c r="Q32" s="32">
        <f t="shared" si="9"/>
        <v>0.26000000000000006</v>
      </c>
      <c r="R32" s="65">
        <f t="shared" si="4"/>
        <v>1.3500000000000003</v>
      </c>
      <c r="S32" s="65">
        <f t="shared" si="5"/>
        <v>1324.3500000000004</v>
      </c>
      <c r="T32" s="66">
        <f t="shared" si="10"/>
        <v>1787.8725000000009</v>
      </c>
      <c r="U32" s="65">
        <f t="shared" si="6"/>
        <v>0.74074074074074059</v>
      </c>
      <c r="V32" s="65">
        <f t="shared" si="11"/>
        <v>548.6968449931411</v>
      </c>
      <c r="W32" s="65">
        <f t="shared" si="12"/>
        <v>740.74074074074065</v>
      </c>
      <c r="X32" s="67">
        <f t="shared" si="13"/>
        <v>2528.6132407407413</v>
      </c>
      <c r="Y32" s="1">
        <f t="shared" si="14"/>
        <v>0.2879662000506189</v>
      </c>
      <c r="AA32" s="65">
        <f t="shared" si="15"/>
        <v>1.3500000000000003</v>
      </c>
      <c r="AB32" s="65">
        <f t="shared" si="16"/>
        <v>1324.3500000000004</v>
      </c>
      <c r="AC32" s="65">
        <f t="shared" si="17"/>
        <v>1787.8725000000009</v>
      </c>
      <c r="AD32">
        <f t="shared" si="18"/>
        <v>1.4814814814814812</v>
      </c>
      <c r="AE32">
        <f t="shared" si="19"/>
        <v>2194.7873799725644</v>
      </c>
      <c r="AF32">
        <f t="shared" si="20"/>
        <v>2962.9629629629626</v>
      </c>
      <c r="AG32" s="52">
        <f t="shared" si="21"/>
        <v>4750.835462962963</v>
      </c>
    </row>
    <row r="33" spans="3:33" x14ac:dyDescent="0.25">
      <c r="C33" s="32">
        <f t="shared" si="29"/>
        <v>0.28000000000000008</v>
      </c>
      <c r="D33" s="10">
        <f t="shared" si="23"/>
        <v>5</v>
      </c>
      <c r="E33" s="9">
        <f t="shared" si="30"/>
        <v>1.4000000000000004</v>
      </c>
      <c r="F33" s="1">
        <f t="shared" si="8"/>
        <v>0.71428571428571408</v>
      </c>
      <c r="H33" s="63">
        <f t="shared" si="0"/>
        <v>0.30600428550625147</v>
      </c>
      <c r="I33" s="2">
        <f t="shared" si="31"/>
        <v>8.0380854556325598E-3</v>
      </c>
      <c r="J33" s="2"/>
      <c r="K33" t="str">
        <f t="shared" si="25"/>
        <v xml:space="preserve"> </v>
      </c>
      <c r="L33" s="75">
        <f t="shared" si="26"/>
        <v>0.27000000000000007</v>
      </c>
      <c r="M33" s="8">
        <f t="shared" si="1"/>
        <v>0.71428571428571408</v>
      </c>
      <c r="N33">
        <f t="shared" si="2"/>
        <v>1.4285714285714282</v>
      </c>
      <c r="O33" s="74">
        <f t="shared" si="3"/>
        <v>0.3840171420250057</v>
      </c>
      <c r="P33" s="79"/>
      <c r="Q33" s="32">
        <f t="shared" si="9"/>
        <v>0.27000000000000007</v>
      </c>
      <c r="R33" s="65">
        <f t="shared" si="4"/>
        <v>1.4000000000000004</v>
      </c>
      <c r="S33" s="65">
        <f t="shared" si="5"/>
        <v>1373.4000000000003</v>
      </c>
      <c r="T33" s="66">
        <f t="shared" si="10"/>
        <v>1922.7600000000009</v>
      </c>
      <c r="U33" s="65">
        <f t="shared" si="6"/>
        <v>0.71428571428571408</v>
      </c>
      <c r="V33" s="65">
        <f t="shared" si="11"/>
        <v>510.20408163265273</v>
      </c>
      <c r="W33" s="65">
        <f t="shared" si="12"/>
        <v>714.28571428571399</v>
      </c>
      <c r="X33" s="67">
        <f t="shared" si="13"/>
        <v>2637.0457142857149</v>
      </c>
      <c r="Y33" s="1">
        <f t="shared" si="14"/>
        <v>0.29600428550625146</v>
      </c>
      <c r="AA33" s="65">
        <f t="shared" si="15"/>
        <v>1.4000000000000004</v>
      </c>
      <c r="AB33" s="65">
        <f t="shared" si="16"/>
        <v>1373.4000000000003</v>
      </c>
      <c r="AC33" s="65">
        <f t="shared" si="17"/>
        <v>1922.7600000000009</v>
      </c>
      <c r="AD33">
        <f t="shared" si="18"/>
        <v>1.4285714285714282</v>
      </c>
      <c r="AE33">
        <f t="shared" si="19"/>
        <v>2040.8163265306109</v>
      </c>
      <c r="AF33">
        <f t="shared" si="20"/>
        <v>2857.142857142856</v>
      </c>
      <c r="AG33" s="52">
        <f t="shared" si="21"/>
        <v>4779.9028571428571</v>
      </c>
    </row>
    <row r="34" spans="3:33" x14ac:dyDescent="0.25">
      <c r="C34" s="32">
        <f t="shared" si="29"/>
        <v>0.29000000000000009</v>
      </c>
      <c r="D34" s="10">
        <f t="shared" si="23"/>
        <v>5</v>
      </c>
      <c r="E34" s="9">
        <f t="shared" si="30"/>
        <v>1.4500000000000004</v>
      </c>
      <c r="F34" s="1">
        <f t="shared" si="8"/>
        <v>0.68965517241379293</v>
      </c>
      <c r="H34" s="63">
        <f t="shared" si="0"/>
        <v>0.31424180717824163</v>
      </c>
      <c r="I34" s="2">
        <f t="shared" si="31"/>
        <v>8.2375216719901556E-3</v>
      </c>
      <c r="J34" s="2"/>
      <c r="K34" t="str">
        <f t="shared" si="25"/>
        <v xml:space="preserve"> </v>
      </c>
      <c r="L34" s="75">
        <f t="shared" si="26"/>
        <v>0.28000000000000008</v>
      </c>
      <c r="M34" s="8">
        <f t="shared" si="1"/>
        <v>0.68965517241379293</v>
      </c>
      <c r="N34">
        <f t="shared" si="2"/>
        <v>1.3793103448275859</v>
      </c>
      <c r="O34" s="74">
        <f t="shared" si="3"/>
        <v>0.38696722871296613</v>
      </c>
      <c r="P34" s="79"/>
      <c r="Q34" s="32">
        <f t="shared" si="9"/>
        <v>0.28000000000000008</v>
      </c>
      <c r="R34" s="65">
        <f t="shared" si="4"/>
        <v>1.4500000000000004</v>
      </c>
      <c r="S34" s="65">
        <f t="shared" si="5"/>
        <v>1422.4500000000005</v>
      </c>
      <c r="T34" s="66">
        <f t="shared" si="10"/>
        <v>2062.5525000000011</v>
      </c>
      <c r="U34" s="65">
        <f t="shared" si="6"/>
        <v>0.68965517241379293</v>
      </c>
      <c r="V34" s="65">
        <f t="shared" si="11"/>
        <v>475.62425683709847</v>
      </c>
      <c r="W34" s="65">
        <f t="shared" si="12"/>
        <v>689.65517241379303</v>
      </c>
      <c r="X34" s="67">
        <f t="shared" si="13"/>
        <v>2752.2076724137942</v>
      </c>
      <c r="Y34" s="1">
        <f t="shared" si="14"/>
        <v>0.30424180717824162</v>
      </c>
      <c r="AA34" s="65">
        <f t="shared" si="15"/>
        <v>1.4500000000000004</v>
      </c>
      <c r="AB34" s="65">
        <f t="shared" si="16"/>
        <v>1422.4500000000005</v>
      </c>
      <c r="AC34" s="65">
        <f t="shared" si="17"/>
        <v>2062.5525000000011</v>
      </c>
      <c r="AD34">
        <f t="shared" si="18"/>
        <v>1.3793103448275859</v>
      </c>
      <c r="AE34">
        <f t="shared" si="19"/>
        <v>1902.4970273483939</v>
      </c>
      <c r="AF34">
        <f t="shared" si="20"/>
        <v>2758.6206896551721</v>
      </c>
      <c r="AG34" s="52">
        <f t="shared" si="21"/>
        <v>4821.1731896551737</v>
      </c>
    </row>
    <row r="35" spans="3:33" x14ac:dyDescent="0.25">
      <c r="C35" s="32">
        <f t="shared" si="29"/>
        <v>0.3000000000000001</v>
      </c>
      <c r="D35" s="10">
        <f t="shared" si="23"/>
        <v>5</v>
      </c>
      <c r="E35" s="9">
        <f t="shared" si="30"/>
        <v>1.5000000000000004</v>
      </c>
      <c r="F35" s="1">
        <f t="shared" si="8"/>
        <v>0.66666666666666652</v>
      </c>
      <c r="H35" s="63">
        <f t="shared" si="0"/>
        <v>0.32265262204100131</v>
      </c>
      <c r="I35" s="2">
        <f t="shared" si="31"/>
        <v>8.4108148627596857E-3</v>
      </c>
      <c r="J35" s="2"/>
      <c r="K35" t="str">
        <f t="shared" si="25"/>
        <v xml:space="preserve"> </v>
      </c>
      <c r="L35" s="75">
        <f t="shared" si="26"/>
        <v>0.29000000000000009</v>
      </c>
      <c r="M35" s="8">
        <f t="shared" si="1"/>
        <v>0.66666666666666652</v>
      </c>
      <c r="N35">
        <f t="shared" si="2"/>
        <v>1.333333333333333</v>
      </c>
      <c r="O35" s="74">
        <f t="shared" si="3"/>
        <v>0.39061048816400501</v>
      </c>
      <c r="P35" s="79"/>
      <c r="Q35" s="32">
        <f t="shared" si="9"/>
        <v>0.29000000000000009</v>
      </c>
      <c r="R35" s="65">
        <f t="shared" si="4"/>
        <v>1.5000000000000004</v>
      </c>
      <c r="S35" s="65">
        <f t="shared" si="5"/>
        <v>1471.5000000000005</v>
      </c>
      <c r="T35" s="66">
        <f t="shared" si="10"/>
        <v>2207.2500000000014</v>
      </c>
      <c r="U35" s="65">
        <f t="shared" si="6"/>
        <v>0.66666666666666652</v>
      </c>
      <c r="V35" s="65">
        <f t="shared" si="11"/>
        <v>444.44444444444423</v>
      </c>
      <c r="W35" s="65">
        <f t="shared" si="12"/>
        <v>666.66666666666652</v>
      </c>
      <c r="X35" s="67">
        <f t="shared" si="13"/>
        <v>2873.9166666666679</v>
      </c>
      <c r="Y35" s="1">
        <f t="shared" si="14"/>
        <v>0.3126526220410013</v>
      </c>
      <c r="AA35" s="65">
        <f t="shared" si="15"/>
        <v>1.5000000000000004</v>
      </c>
      <c r="AB35" s="65">
        <f t="shared" si="16"/>
        <v>1471.5000000000005</v>
      </c>
      <c r="AC35" s="65">
        <f t="shared" si="17"/>
        <v>2207.2500000000014</v>
      </c>
      <c r="AD35">
        <f t="shared" si="18"/>
        <v>1.333333333333333</v>
      </c>
      <c r="AE35">
        <f t="shared" si="19"/>
        <v>1777.7777777777769</v>
      </c>
      <c r="AF35">
        <f t="shared" si="20"/>
        <v>2666.6666666666661</v>
      </c>
      <c r="AG35" s="52">
        <f t="shared" si="21"/>
        <v>4873.9166666666679</v>
      </c>
    </row>
    <row r="36" spans="3:33" x14ac:dyDescent="0.25">
      <c r="C36" s="32">
        <f t="shared" si="29"/>
        <v>0.31000000000000011</v>
      </c>
      <c r="D36" s="10">
        <f t="shared" si="23"/>
        <v>5</v>
      </c>
      <c r="E36" s="9">
        <f t="shared" si="30"/>
        <v>1.5500000000000005</v>
      </c>
      <c r="F36" s="1">
        <f t="shared" si="8"/>
        <v>0.64516129032258041</v>
      </c>
      <c r="H36" s="63">
        <f t="shared" si="0"/>
        <v>0.33121473448168698</v>
      </c>
      <c r="I36" s="2">
        <f t="shared" si="31"/>
        <v>8.5621124406856652E-3</v>
      </c>
      <c r="J36" s="2"/>
      <c r="K36" t="str">
        <f t="shared" si="25"/>
        <v xml:space="preserve"> </v>
      </c>
      <c r="L36" s="75">
        <f t="shared" si="26"/>
        <v>0.3000000000000001</v>
      </c>
      <c r="M36" s="8">
        <f t="shared" si="1"/>
        <v>0.64516129032258041</v>
      </c>
      <c r="N36">
        <f t="shared" si="2"/>
        <v>1.2903225806451608</v>
      </c>
      <c r="O36" s="74">
        <f t="shared" si="3"/>
        <v>0.3948589379267477</v>
      </c>
      <c r="P36" s="79"/>
      <c r="Q36" s="32">
        <f t="shared" si="9"/>
        <v>0.3000000000000001</v>
      </c>
      <c r="R36" s="65">
        <f t="shared" si="4"/>
        <v>1.5500000000000005</v>
      </c>
      <c r="S36" s="65">
        <f t="shared" si="5"/>
        <v>1520.5500000000004</v>
      </c>
      <c r="T36" s="66">
        <f t="shared" si="10"/>
        <v>2356.8525000000013</v>
      </c>
      <c r="U36" s="65">
        <f t="shared" si="6"/>
        <v>0.64516129032258041</v>
      </c>
      <c r="V36" s="65">
        <f t="shared" si="11"/>
        <v>416.23309053069693</v>
      </c>
      <c r="W36" s="65">
        <f t="shared" si="12"/>
        <v>645.16129032258038</v>
      </c>
      <c r="X36" s="67">
        <f t="shared" si="13"/>
        <v>3002.0137903225818</v>
      </c>
      <c r="Y36" s="1">
        <f t="shared" si="14"/>
        <v>0.32121473448168697</v>
      </c>
      <c r="AA36" s="65">
        <f t="shared" si="15"/>
        <v>1.5500000000000005</v>
      </c>
      <c r="AB36" s="65">
        <f t="shared" si="16"/>
        <v>1520.5500000000004</v>
      </c>
      <c r="AC36" s="65">
        <f t="shared" si="17"/>
        <v>2356.8525000000013</v>
      </c>
      <c r="AD36">
        <f t="shared" si="18"/>
        <v>1.2903225806451608</v>
      </c>
      <c r="AE36">
        <f t="shared" si="19"/>
        <v>1664.9323621227877</v>
      </c>
      <c r="AF36">
        <f t="shared" si="20"/>
        <v>2580.6451612903215</v>
      </c>
      <c r="AG36" s="52">
        <f t="shared" si="21"/>
        <v>4937.4976612903229</v>
      </c>
    </row>
    <row r="37" spans="3:33" x14ac:dyDescent="0.25">
      <c r="C37" s="32">
        <f t="shared" si="29"/>
        <v>0.32000000000000012</v>
      </c>
      <c r="D37" s="10">
        <f t="shared" si="23"/>
        <v>5</v>
      </c>
      <c r="E37" s="9">
        <f t="shared" si="30"/>
        <v>1.6000000000000005</v>
      </c>
      <c r="F37" s="1">
        <f t="shared" si="8"/>
        <v>0.62499999999999978</v>
      </c>
      <c r="H37" s="63">
        <f t="shared" si="0"/>
        <v>0.33990953109072386</v>
      </c>
      <c r="I37" s="2">
        <f t="shared" si="31"/>
        <v>8.6947966090368811E-3</v>
      </c>
      <c r="J37" s="2"/>
      <c r="K37" t="str">
        <f t="shared" si="25"/>
        <v xml:space="preserve"> </v>
      </c>
      <c r="L37" s="75">
        <f t="shared" si="26"/>
        <v>0.31000000000000011</v>
      </c>
      <c r="M37" s="8">
        <f t="shared" si="1"/>
        <v>0.62499999999999978</v>
      </c>
      <c r="N37">
        <f t="shared" si="2"/>
        <v>1.2499999999999996</v>
      </c>
      <c r="O37" s="74">
        <f t="shared" si="3"/>
        <v>0.39963812436289503</v>
      </c>
      <c r="P37" s="79"/>
      <c r="Q37" s="32">
        <f t="shared" si="9"/>
        <v>0.31000000000000011</v>
      </c>
      <c r="R37" s="65">
        <f t="shared" si="4"/>
        <v>1.6000000000000005</v>
      </c>
      <c r="S37" s="65">
        <f t="shared" si="5"/>
        <v>1569.6000000000006</v>
      </c>
      <c r="T37" s="66">
        <f t="shared" si="10"/>
        <v>2511.3600000000019</v>
      </c>
      <c r="U37" s="65">
        <f t="shared" si="6"/>
        <v>0.62499999999999978</v>
      </c>
      <c r="V37" s="65">
        <f t="shared" si="11"/>
        <v>390.62499999999972</v>
      </c>
      <c r="W37" s="65">
        <f t="shared" si="12"/>
        <v>624.99999999999977</v>
      </c>
      <c r="X37" s="67">
        <f t="shared" si="13"/>
        <v>3136.3600000000015</v>
      </c>
      <c r="Y37" s="1">
        <f t="shared" si="14"/>
        <v>0.32990953109072385</v>
      </c>
      <c r="AA37" s="65">
        <f t="shared" si="15"/>
        <v>1.6000000000000005</v>
      </c>
      <c r="AB37" s="65">
        <f t="shared" si="16"/>
        <v>1569.6000000000006</v>
      </c>
      <c r="AC37" s="65">
        <f t="shared" si="17"/>
        <v>2511.3600000000019</v>
      </c>
      <c r="AD37">
        <f t="shared" si="18"/>
        <v>1.2499999999999996</v>
      </c>
      <c r="AE37">
        <f t="shared" si="19"/>
        <v>1562.4999999999989</v>
      </c>
      <c r="AF37">
        <f t="shared" si="20"/>
        <v>2499.9999999999991</v>
      </c>
      <c r="AG37" s="52">
        <f t="shared" si="21"/>
        <v>5011.3600000000006</v>
      </c>
    </row>
    <row r="38" spans="3:33" x14ac:dyDescent="0.25">
      <c r="C38" s="32">
        <f t="shared" si="29"/>
        <v>0.33000000000000013</v>
      </c>
      <c r="D38" s="10">
        <f t="shared" si="23"/>
        <v>5</v>
      </c>
      <c r="E38" s="9">
        <f t="shared" si="30"/>
        <v>1.6500000000000006</v>
      </c>
      <c r="F38" s="1">
        <f t="shared" si="8"/>
        <v>0.60606060606060586</v>
      </c>
      <c r="H38" s="63">
        <f t="shared" si="0"/>
        <v>0.34872117524049701</v>
      </c>
      <c r="I38" s="2">
        <f t="shared" si="31"/>
        <v>8.8116441497731457E-3</v>
      </c>
      <c r="J38" s="2"/>
      <c r="K38" t="str">
        <f t="shared" si="25"/>
        <v xml:space="preserve"> </v>
      </c>
      <c r="L38" s="75">
        <f t="shared" si="26"/>
        <v>0.32000000000000012</v>
      </c>
      <c r="M38" s="8">
        <f t="shared" si="1"/>
        <v>0.60606060606060586</v>
      </c>
      <c r="N38">
        <f t="shared" si="2"/>
        <v>1.2121212121212117</v>
      </c>
      <c r="O38" s="74">
        <f t="shared" si="3"/>
        <v>0.40488470096198764</v>
      </c>
      <c r="P38" s="79"/>
      <c r="Q38" s="32">
        <f t="shared" si="9"/>
        <v>0.32000000000000012</v>
      </c>
      <c r="R38" s="65">
        <f t="shared" si="4"/>
        <v>1.6500000000000006</v>
      </c>
      <c r="S38" s="65">
        <f t="shared" si="5"/>
        <v>1618.6500000000008</v>
      </c>
      <c r="T38" s="66">
        <f t="shared" si="10"/>
        <v>2670.7725000000023</v>
      </c>
      <c r="U38" s="65">
        <f t="shared" si="6"/>
        <v>0.60606060606060586</v>
      </c>
      <c r="V38" s="65">
        <f t="shared" si="11"/>
        <v>367.30945821854885</v>
      </c>
      <c r="W38" s="65">
        <f t="shared" si="12"/>
        <v>606.06060606060578</v>
      </c>
      <c r="X38" s="67">
        <f t="shared" si="13"/>
        <v>3276.8331060606079</v>
      </c>
      <c r="Y38" s="1">
        <f t="shared" si="14"/>
        <v>0.338721175240497</v>
      </c>
      <c r="AA38" s="65">
        <f t="shared" si="15"/>
        <v>1.6500000000000006</v>
      </c>
      <c r="AB38" s="65">
        <f t="shared" si="16"/>
        <v>1618.6500000000008</v>
      </c>
      <c r="AC38" s="65">
        <f t="shared" si="17"/>
        <v>2670.7725000000023</v>
      </c>
      <c r="AD38">
        <f t="shared" si="18"/>
        <v>1.2121212121212117</v>
      </c>
      <c r="AE38">
        <f t="shared" si="19"/>
        <v>1469.2378328741954</v>
      </c>
      <c r="AF38">
        <f t="shared" si="20"/>
        <v>2424.2424242424231</v>
      </c>
      <c r="AG38" s="52">
        <f t="shared" si="21"/>
        <v>5095.014924242425</v>
      </c>
    </row>
    <row r="39" spans="3:33" x14ac:dyDescent="0.25">
      <c r="C39" s="32">
        <f t="shared" si="29"/>
        <v>0.34000000000000014</v>
      </c>
      <c r="D39" s="10">
        <f t="shared" si="23"/>
        <v>5</v>
      </c>
      <c r="E39" s="9">
        <f t="shared" si="30"/>
        <v>1.7000000000000006</v>
      </c>
      <c r="F39" s="1">
        <f t="shared" si="8"/>
        <v>0.58823529411764686</v>
      </c>
      <c r="H39" s="63">
        <f t="shared" si="0"/>
        <v>0.35763612442638515</v>
      </c>
      <c r="I39" s="2">
        <f t="shared" si="31"/>
        <v>8.9149491858881436E-3</v>
      </c>
      <c r="J39" s="2"/>
      <c r="K39" t="str">
        <f t="shared" si="25"/>
        <v xml:space="preserve"> </v>
      </c>
      <c r="L39" s="75">
        <f t="shared" si="26"/>
        <v>0.33000000000000013</v>
      </c>
      <c r="M39" s="8">
        <f t="shared" si="1"/>
        <v>0.58823529411764686</v>
      </c>
      <c r="N39">
        <f t="shared" si="2"/>
        <v>1.1764705882352937</v>
      </c>
      <c r="O39" s="74">
        <f t="shared" si="3"/>
        <v>0.4105444977055403</v>
      </c>
      <c r="P39" s="79"/>
      <c r="Q39" s="32">
        <f t="shared" si="9"/>
        <v>0.33000000000000013</v>
      </c>
      <c r="R39" s="65">
        <f t="shared" si="4"/>
        <v>1.7000000000000006</v>
      </c>
      <c r="S39" s="65">
        <f t="shared" si="5"/>
        <v>1667.700000000001</v>
      </c>
      <c r="T39" s="66">
        <f t="shared" si="10"/>
        <v>2835.0900000000029</v>
      </c>
      <c r="U39" s="65">
        <f t="shared" si="6"/>
        <v>0.58823529411764686</v>
      </c>
      <c r="V39" s="65">
        <f t="shared" si="11"/>
        <v>346.02076124567446</v>
      </c>
      <c r="W39" s="65">
        <f t="shared" si="12"/>
        <v>588.23529411764684</v>
      </c>
      <c r="X39" s="67">
        <f t="shared" si="13"/>
        <v>3423.3252941176497</v>
      </c>
      <c r="Y39" s="1">
        <f t="shared" si="14"/>
        <v>0.34763612442638514</v>
      </c>
      <c r="AA39" s="65">
        <f t="shared" si="15"/>
        <v>1.7000000000000006</v>
      </c>
      <c r="AB39" s="65">
        <f t="shared" si="16"/>
        <v>1667.700000000001</v>
      </c>
      <c r="AC39" s="65">
        <f t="shared" si="17"/>
        <v>2835.0900000000029</v>
      </c>
      <c r="AD39">
        <f t="shared" si="18"/>
        <v>1.1764705882352937</v>
      </c>
      <c r="AE39">
        <f t="shared" si="19"/>
        <v>1384.0830449826979</v>
      </c>
      <c r="AF39">
        <f t="shared" si="20"/>
        <v>2352.9411764705874</v>
      </c>
      <c r="AG39" s="52">
        <f t="shared" si="21"/>
        <v>5188.0311764705903</v>
      </c>
    </row>
    <row r="40" spans="3:33" x14ac:dyDescent="0.25">
      <c r="C40" s="32">
        <f t="shared" si="29"/>
        <v>0.35000000000000014</v>
      </c>
      <c r="D40" s="10">
        <f t="shared" si="23"/>
        <v>5</v>
      </c>
      <c r="E40" s="9">
        <f t="shared" si="30"/>
        <v>1.7500000000000007</v>
      </c>
      <c r="F40" s="1">
        <f t="shared" si="8"/>
        <v>0.57142857142857117</v>
      </c>
      <c r="H40" s="63">
        <f t="shared" si="0"/>
        <v>0.36664274272400105</v>
      </c>
      <c r="I40" s="2">
        <f t="shared" si="31"/>
        <v>9.0066182976158982E-3</v>
      </c>
      <c r="J40" s="2"/>
      <c r="K40" t="str">
        <f t="shared" si="25"/>
        <v xml:space="preserve"> </v>
      </c>
      <c r="L40" s="75">
        <f t="shared" si="26"/>
        <v>0.34000000000000014</v>
      </c>
      <c r="M40" s="8">
        <f t="shared" si="1"/>
        <v>0.57142857142857117</v>
      </c>
      <c r="N40">
        <f t="shared" si="2"/>
        <v>1.1428571428571423</v>
      </c>
      <c r="O40" s="74">
        <f t="shared" si="3"/>
        <v>0.41657097089600376</v>
      </c>
      <c r="P40" s="79"/>
      <c r="Q40" s="32">
        <f t="shared" si="9"/>
        <v>0.34000000000000014</v>
      </c>
      <c r="R40" s="65">
        <f t="shared" si="4"/>
        <v>1.7500000000000007</v>
      </c>
      <c r="S40" s="65">
        <f t="shared" si="5"/>
        <v>1716.7500000000009</v>
      </c>
      <c r="T40" s="66">
        <f t="shared" si="10"/>
        <v>3004.3125000000027</v>
      </c>
      <c r="U40" s="65">
        <f t="shared" si="6"/>
        <v>0.57142857142857117</v>
      </c>
      <c r="V40" s="65">
        <f t="shared" si="11"/>
        <v>326.53061224489767</v>
      </c>
      <c r="W40" s="65">
        <f t="shared" si="12"/>
        <v>571.4285714285711</v>
      </c>
      <c r="X40" s="67">
        <f t="shared" si="13"/>
        <v>3575.7410714285738</v>
      </c>
      <c r="Y40" s="1">
        <f t="shared" si="14"/>
        <v>0.35664274272400104</v>
      </c>
      <c r="AA40" s="65">
        <f t="shared" si="15"/>
        <v>1.7500000000000007</v>
      </c>
      <c r="AB40" s="65">
        <f t="shared" si="16"/>
        <v>1716.7500000000009</v>
      </c>
      <c r="AC40" s="65">
        <f t="shared" si="17"/>
        <v>3004.3125000000027</v>
      </c>
      <c r="AD40">
        <f t="shared" si="18"/>
        <v>1.1428571428571423</v>
      </c>
      <c r="AE40">
        <f t="shared" si="19"/>
        <v>1306.1224489795907</v>
      </c>
      <c r="AF40">
        <f t="shared" si="20"/>
        <v>2285.7142857142844</v>
      </c>
      <c r="AG40" s="52">
        <f t="shared" si="21"/>
        <v>5290.0267857142871</v>
      </c>
    </row>
    <row r="41" spans="3:33" x14ac:dyDescent="0.25">
      <c r="C41" s="32">
        <f t="shared" si="29"/>
        <v>0.36000000000000015</v>
      </c>
      <c r="D41" s="10">
        <f t="shared" si="23"/>
        <v>5</v>
      </c>
      <c r="E41" s="9">
        <f t="shared" si="30"/>
        <v>1.8000000000000007</v>
      </c>
      <c r="F41" s="1">
        <f t="shared" si="8"/>
        <v>0.55555555555555536</v>
      </c>
      <c r="H41" s="63">
        <f t="shared" si="0"/>
        <v>0.37573098752847323</v>
      </c>
      <c r="I41" s="2">
        <f t="shared" si="31"/>
        <v>9.0882448044721786E-3</v>
      </c>
      <c r="J41" s="2"/>
      <c r="K41" t="str">
        <f t="shared" si="25"/>
        <v xml:space="preserve"> </v>
      </c>
      <c r="L41" s="75">
        <f t="shared" si="26"/>
        <v>0.35000000000000014</v>
      </c>
      <c r="M41" s="8">
        <f t="shared" si="1"/>
        <v>0.55555555555555536</v>
      </c>
      <c r="N41">
        <f t="shared" si="2"/>
        <v>1.1111111111111107</v>
      </c>
      <c r="O41" s="74">
        <f t="shared" si="3"/>
        <v>0.42292395011389244</v>
      </c>
      <c r="P41" s="79"/>
      <c r="Q41" s="32">
        <f t="shared" si="9"/>
        <v>0.35000000000000014</v>
      </c>
      <c r="R41" s="65">
        <f t="shared" si="4"/>
        <v>1.8000000000000007</v>
      </c>
      <c r="S41" s="65">
        <f t="shared" si="5"/>
        <v>1765.8000000000009</v>
      </c>
      <c r="T41" s="66">
        <f t="shared" si="10"/>
        <v>3178.4400000000028</v>
      </c>
      <c r="U41" s="65">
        <f t="shared" si="6"/>
        <v>0.55555555555555536</v>
      </c>
      <c r="V41" s="65">
        <f t="shared" si="11"/>
        <v>308.64197530864175</v>
      </c>
      <c r="W41" s="65">
        <f t="shared" si="12"/>
        <v>555.55555555555532</v>
      </c>
      <c r="X41" s="67">
        <f t="shared" si="13"/>
        <v>3733.995555555558</v>
      </c>
      <c r="Y41" s="1">
        <f t="shared" si="14"/>
        <v>0.36573098752847322</v>
      </c>
      <c r="AA41" s="65">
        <f t="shared" si="15"/>
        <v>1.8000000000000007</v>
      </c>
      <c r="AB41" s="65">
        <f t="shared" si="16"/>
        <v>1765.8000000000009</v>
      </c>
      <c r="AC41" s="65">
        <f t="shared" si="17"/>
        <v>3178.4400000000028</v>
      </c>
      <c r="AD41">
        <f t="shared" si="18"/>
        <v>1.1111111111111107</v>
      </c>
      <c r="AE41">
        <f t="shared" si="19"/>
        <v>1234.567901234567</v>
      </c>
      <c r="AF41">
        <f t="shared" si="20"/>
        <v>2222.2222222222213</v>
      </c>
      <c r="AG41" s="52">
        <f t="shared" si="21"/>
        <v>5400.662222222224</v>
      </c>
    </row>
    <row r="42" spans="3:33" x14ac:dyDescent="0.25">
      <c r="C42" s="32">
        <f t="shared" si="29"/>
        <v>0.37000000000000016</v>
      </c>
      <c r="D42" s="10">
        <f t="shared" si="23"/>
        <v>5</v>
      </c>
      <c r="E42" s="9">
        <f t="shared" si="30"/>
        <v>1.8500000000000008</v>
      </c>
      <c r="F42" s="1">
        <f t="shared" si="8"/>
        <v>0.54054054054054035</v>
      </c>
      <c r="H42" s="63">
        <f t="shared" si="0"/>
        <v>0.3848921547384232</v>
      </c>
      <c r="I42" s="2">
        <f t="shared" si="31"/>
        <v>9.1611672099499719E-3</v>
      </c>
      <c r="J42" s="2"/>
      <c r="K42" t="str">
        <f t="shared" si="25"/>
        <v xml:space="preserve"> </v>
      </c>
      <c r="L42" s="75">
        <f t="shared" si="26"/>
        <v>0.36000000000000015</v>
      </c>
      <c r="M42" s="8">
        <f t="shared" si="1"/>
        <v>0.54054054054054035</v>
      </c>
      <c r="N42">
        <f t="shared" si="2"/>
        <v>1.0810810810810807</v>
      </c>
      <c r="O42" s="74">
        <f t="shared" si="3"/>
        <v>0.42956861895369225</v>
      </c>
      <c r="P42" s="79"/>
      <c r="Q42" s="32">
        <f t="shared" si="9"/>
        <v>0.36000000000000015</v>
      </c>
      <c r="R42" s="65">
        <f t="shared" si="4"/>
        <v>1.8500000000000008</v>
      </c>
      <c r="S42" s="65">
        <f t="shared" si="5"/>
        <v>1814.850000000001</v>
      </c>
      <c r="T42" s="66">
        <f t="shared" si="10"/>
        <v>3357.4725000000035</v>
      </c>
      <c r="U42" s="65">
        <f t="shared" si="6"/>
        <v>0.54054054054054035</v>
      </c>
      <c r="V42" s="65">
        <f t="shared" si="11"/>
        <v>292.18407596785954</v>
      </c>
      <c r="W42" s="65">
        <f t="shared" si="12"/>
        <v>540.54054054054041</v>
      </c>
      <c r="X42" s="67">
        <f t="shared" si="13"/>
        <v>3898.0130405405439</v>
      </c>
      <c r="Y42" s="1">
        <f t="shared" si="14"/>
        <v>0.37489215473842319</v>
      </c>
      <c r="AA42" s="65">
        <f t="shared" si="15"/>
        <v>1.8500000000000008</v>
      </c>
      <c r="AB42" s="65">
        <f t="shared" si="16"/>
        <v>1814.850000000001</v>
      </c>
      <c r="AC42" s="65">
        <f t="shared" si="17"/>
        <v>3357.4725000000035</v>
      </c>
      <c r="AD42">
        <f t="shared" si="18"/>
        <v>1.0810810810810807</v>
      </c>
      <c r="AE42">
        <f t="shared" si="19"/>
        <v>1168.7363038714382</v>
      </c>
      <c r="AF42">
        <f t="shared" si="20"/>
        <v>2162.1621621621616</v>
      </c>
      <c r="AG42" s="52">
        <f t="shared" si="21"/>
        <v>5519.6346621621651</v>
      </c>
    </row>
    <row r="43" spans="3:33" x14ac:dyDescent="0.25">
      <c r="C43">
        <f t="shared" si="29"/>
        <v>0.38000000000000017</v>
      </c>
      <c r="D43">
        <f t="shared" si="23"/>
        <v>5</v>
      </c>
      <c r="E43" s="9">
        <f t="shared" ref="E43:E70" si="32">C43*D43</f>
        <v>1.9000000000000008</v>
      </c>
      <c r="F43" s="1">
        <f t="shared" ref="F43:F70" si="33">$B$8/E43</f>
        <v>0.52631578947368396</v>
      </c>
      <c r="H43" s="22">
        <f t="shared" ref="H43:H70" si="34">C43+F43^2/(2*9.81)</f>
        <v>0.39411867024716157</v>
      </c>
      <c r="I43">
        <f t="shared" ref="I43:I70" si="35">H43-H42</f>
        <v>9.2265155087383754E-3</v>
      </c>
      <c r="K43" t="str">
        <f t="shared" ref="K43:K70" si="36">IF((I42*I43)&lt;0,"SezCrit!!"," ")</f>
        <v xml:space="preserve"> </v>
      </c>
      <c r="L43" s="22">
        <f t="shared" ref="L43:L70" si="37">C42</f>
        <v>0.37000000000000016</v>
      </c>
      <c r="M43">
        <f t="shared" ref="M43:M70" si="38">$B$8/E43</f>
        <v>0.52631578947368396</v>
      </c>
      <c r="N43">
        <f t="shared" ref="N43:N70" si="39">$B$8*$N$2/E43</f>
        <v>1.0526315789473679</v>
      </c>
      <c r="O43" s="1">
        <f t="shared" ref="O43:O70" si="40">C43+N43^2/(2*9.81)</f>
        <v>0.43647468098864589</v>
      </c>
      <c r="Q43" s="32">
        <f t="shared" ref="Q43:Q70" si="41">L43</f>
        <v>0.37000000000000016</v>
      </c>
      <c r="R43" s="65">
        <f t="shared" ref="R43:R70" si="42">D43*C43</f>
        <v>1.9000000000000008</v>
      </c>
      <c r="S43" s="65">
        <f t="shared" ref="S43:S70" si="43">C43*9.81*1000/2</f>
        <v>1863.900000000001</v>
      </c>
      <c r="T43" s="66">
        <f t="shared" ref="T43:T70" si="44">S43*R43</f>
        <v>3541.4100000000035</v>
      </c>
      <c r="U43" s="65">
        <f t="shared" ref="U43:U70" si="45">F43</f>
        <v>0.52631578947368396</v>
      </c>
      <c r="V43" s="65">
        <f t="shared" ref="V43:V70" si="46">1000*U43^2</f>
        <v>277.00831024930721</v>
      </c>
      <c r="W43" s="65">
        <f t="shared" ref="W43:W70" si="47">V43*R43</f>
        <v>526.31578947368394</v>
      </c>
      <c r="X43" s="67">
        <f t="shared" ref="X43:X70" si="48">W43+T43</f>
        <v>4067.7257894736877</v>
      </c>
      <c r="Y43" s="1">
        <f t="shared" ref="Y43:Y70" si="49">Q43+U43^2/(2*9.81)</f>
        <v>0.38411867024716156</v>
      </c>
      <c r="AA43" s="65">
        <f t="shared" ref="AA43:AA70" si="50">R43</f>
        <v>1.9000000000000008</v>
      </c>
      <c r="AB43" s="65">
        <f t="shared" ref="AB43:AB70" si="51">S43</f>
        <v>1863.900000000001</v>
      </c>
      <c r="AC43" s="65">
        <f t="shared" ref="AC43:AC70" si="52">T43</f>
        <v>3541.4100000000035</v>
      </c>
      <c r="AD43">
        <f t="shared" ref="AD43:AD70" si="53">N43</f>
        <v>1.0526315789473679</v>
      </c>
      <c r="AE43">
        <f t="shared" ref="AE43:AE70" si="54">1000*AD43^2</f>
        <v>1108.0332409972289</v>
      </c>
      <c r="AF43">
        <f t="shared" ref="AF43:AF70" si="55">AE43*AA43</f>
        <v>2105.2631578947357</v>
      </c>
      <c r="AG43" s="52">
        <f t="shared" ref="AG43:AG70" si="56">AF43+AC43</f>
        <v>5646.6731578947392</v>
      </c>
    </row>
    <row r="44" spans="3:33" x14ac:dyDescent="0.25">
      <c r="C44">
        <f t="shared" si="29"/>
        <v>0.39000000000000018</v>
      </c>
      <c r="D44">
        <f t="shared" si="23"/>
        <v>5</v>
      </c>
      <c r="E44" s="9">
        <f t="shared" si="32"/>
        <v>1.9500000000000008</v>
      </c>
      <c r="F44" s="1">
        <f t="shared" si="33"/>
        <v>0.51282051282051255</v>
      </c>
      <c r="H44" s="22">
        <f t="shared" si="34"/>
        <v>0.40340391836745654</v>
      </c>
      <c r="I44">
        <f t="shared" si="35"/>
        <v>9.2852481202949644E-3</v>
      </c>
      <c r="K44" t="str">
        <f t="shared" si="36"/>
        <v xml:space="preserve"> </v>
      </c>
      <c r="L44" s="22">
        <f t="shared" si="37"/>
        <v>0.38000000000000017</v>
      </c>
      <c r="M44">
        <f t="shared" si="38"/>
        <v>0.51282051282051255</v>
      </c>
      <c r="N44">
        <f t="shared" si="39"/>
        <v>1.0256410256410251</v>
      </c>
      <c r="O44" s="1">
        <f t="shared" si="40"/>
        <v>0.44361567346982556</v>
      </c>
      <c r="Q44" s="32">
        <f t="shared" si="41"/>
        <v>0.38000000000000017</v>
      </c>
      <c r="R44" s="65">
        <f t="shared" si="42"/>
        <v>1.9500000000000008</v>
      </c>
      <c r="S44" s="65">
        <f t="shared" si="43"/>
        <v>1912.950000000001</v>
      </c>
      <c r="T44" s="66">
        <f t="shared" si="44"/>
        <v>3730.2525000000037</v>
      </c>
      <c r="U44" s="65">
        <f t="shared" si="45"/>
        <v>0.51282051282051255</v>
      </c>
      <c r="V44" s="65">
        <f t="shared" si="46"/>
        <v>262.98487836949346</v>
      </c>
      <c r="W44" s="65">
        <f t="shared" si="47"/>
        <v>512.82051282051248</v>
      </c>
      <c r="X44" s="67">
        <f t="shared" si="48"/>
        <v>4243.0730128205159</v>
      </c>
      <c r="Y44" s="1">
        <f t="shared" si="49"/>
        <v>0.39340391836745653</v>
      </c>
      <c r="AA44" s="65">
        <f t="shared" si="50"/>
        <v>1.9500000000000008</v>
      </c>
      <c r="AB44" s="65">
        <f t="shared" si="51"/>
        <v>1912.950000000001</v>
      </c>
      <c r="AC44" s="65">
        <f t="shared" si="52"/>
        <v>3730.2525000000037</v>
      </c>
      <c r="AD44">
        <f t="shared" si="53"/>
        <v>1.0256410256410251</v>
      </c>
      <c r="AE44">
        <f t="shared" si="54"/>
        <v>1051.9395134779738</v>
      </c>
      <c r="AF44">
        <f t="shared" si="55"/>
        <v>2051.2820512820499</v>
      </c>
      <c r="AG44" s="52">
        <f t="shared" si="56"/>
        <v>5781.5345512820531</v>
      </c>
    </row>
    <row r="45" spans="3:33" x14ac:dyDescent="0.25">
      <c r="C45">
        <f t="shared" si="29"/>
        <v>0.40000000000000019</v>
      </c>
      <c r="D45">
        <f t="shared" si="23"/>
        <v>5</v>
      </c>
      <c r="E45" s="9">
        <f t="shared" si="32"/>
        <v>2.0000000000000009</v>
      </c>
      <c r="F45" s="1">
        <f t="shared" si="33"/>
        <v>0.49999999999999978</v>
      </c>
      <c r="H45" s="22">
        <f t="shared" si="34"/>
        <v>0.41274209989806337</v>
      </c>
      <c r="I45">
        <f t="shared" si="35"/>
        <v>9.3381815306068372E-3</v>
      </c>
      <c r="K45" t="str">
        <f t="shared" si="36"/>
        <v xml:space="preserve"> </v>
      </c>
      <c r="L45" s="22">
        <f t="shared" si="37"/>
        <v>0.39000000000000018</v>
      </c>
      <c r="M45">
        <f t="shared" si="38"/>
        <v>0.49999999999999978</v>
      </c>
      <c r="N45">
        <f t="shared" si="39"/>
        <v>0.99999999999999956</v>
      </c>
      <c r="O45" s="1">
        <f t="shared" si="40"/>
        <v>0.45096839959225293</v>
      </c>
      <c r="Q45" s="32">
        <f t="shared" si="41"/>
        <v>0.39000000000000018</v>
      </c>
      <c r="R45" s="65">
        <f t="shared" si="42"/>
        <v>2.0000000000000009</v>
      </c>
      <c r="S45" s="65">
        <f t="shared" si="43"/>
        <v>1962.0000000000011</v>
      </c>
      <c r="T45" s="66">
        <f t="shared" si="44"/>
        <v>3924.0000000000041</v>
      </c>
      <c r="U45" s="65">
        <f t="shared" si="45"/>
        <v>0.49999999999999978</v>
      </c>
      <c r="V45" s="65">
        <f t="shared" si="46"/>
        <v>249.99999999999977</v>
      </c>
      <c r="W45" s="65">
        <f t="shared" si="47"/>
        <v>499.99999999999977</v>
      </c>
      <c r="X45" s="67">
        <f t="shared" si="48"/>
        <v>4424.0000000000036</v>
      </c>
      <c r="Y45" s="1">
        <f t="shared" si="49"/>
        <v>0.40274209989806337</v>
      </c>
      <c r="AA45" s="65">
        <f t="shared" si="50"/>
        <v>2.0000000000000009</v>
      </c>
      <c r="AB45" s="65">
        <f t="shared" si="51"/>
        <v>1962.0000000000011</v>
      </c>
      <c r="AC45" s="65">
        <f t="shared" si="52"/>
        <v>3924.0000000000041</v>
      </c>
      <c r="AD45">
        <f t="shared" si="53"/>
        <v>0.99999999999999956</v>
      </c>
      <c r="AE45">
        <f t="shared" si="54"/>
        <v>999.99999999999909</v>
      </c>
      <c r="AF45">
        <f t="shared" si="55"/>
        <v>1999.9999999999991</v>
      </c>
      <c r="AG45" s="52">
        <f t="shared" si="56"/>
        <v>5924.0000000000036</v>
      </c>
    </row>
    <row r="46" spans="3:33" x14ac:dyDescent="0.25">
      <c r="C46">
        <f t="shared" si="29"/>
        <v>0.4100000000000002</v>
      </c>
      <c r="D46">
        <f t="shared" si="23"/>
        <v>5</v>
      </c>
      <c r="E46" s="9">
        <f t="shared" si="32"/>
        <v>2.0500000000000012</v>
      </c>
      <c r="F46" s="1">
        <f t="shared" si="33"/>
        <v>0.4878048780487802</v>
      </c>
      <c r="H46" s="22">
        <f t="shared" si="34"/>
        <v>0.42212811412070284</v>
      </c>
      <c r="I46">
        <f t="shared" si="35"/>
        <v>9.3860142226394605E-3</v>
      </c>
      <c r="K46" t="str">
        <f t="shared" si="36"/>
        <v xml:space="preserve"> </v>
      </c>
      <c r="L46" s="22">
        <f t="shared" si="37"/>
        <v>0.40000000000000019</v>
      </c>
      <c r="M46">
        <f t="shared" si="38"/>
        <v>0.4878048780487802</v>
      </c>
      <c r="N46">
        <f t="shared" si="39"/>
        <v>0.9756097560975604</v>
      </c>
      <c r="O46" s="1">
        <f t="shared" si="40"/>
        <v>0.45851245648281064</v>
      </c>
      <c r="Q46" s="32">
        <f t="shared" si="41"/>
        <v>0.40000000000000019</v>
      </c>
      <c r="R46" s="65">
        <f t="shared" si="42"/>
        <v>2.0500000000000012</v>
      </c>
      <c r="S46" s="65">
        <f t="shared" si="43"/>
        <v>2011.0500000000009</v>
      </c>
      <c r="T46" s="66">
        <f t="shared" si="44"/>
        <v>4122.6525000000038</v>
      </c>
      <c r="U46" s="65">
        <f t="shared" si="45"/>
        <v>0.4878048780487802</v>
      </c>
      <c r="V46" s="65">
        <f t="shared" si="46"/>
        <v>237.95359904818534</v>
      </c>
      <c r="W46" s="65">
        <f t="shared" si="47"/>
        <v>487.80487804878021</v>
      </c>
      <c r="X46" s="67">
        <f t="shared" si="48"/>
        <v>4610.4573780487844</v>
      </c>
      <c r="Y46" s="1">
        <f t="shared" si="49"/>
        <v>0.41212811412070283</v>
      </c>
      <c r="AA46" s="65">
        <f t="shared" si="50"/>
        <v>2.0500000000000012</v>
      </c>
      <c r="AB46" s="65">
        <f t="shared" si="51"/>
        <v>2011.0500000000009</v>
      </c>
      <c r="AC46" s="65">
        <f t="shared" si="52"/>
        <v>4122.6525000000038</v>
      </c>
      <c r="AD46">
        <f t="shared" si="53"/>
        <v>0.9756097560975604</v>
      </c>
      <c r="AE46">
        <f t="shared" si="54"/>
        <v>951.81439619274136</v>
      </c>
      <c r="AF46">
        <f t="shared" si="55"/>
        <v>1951.2195121951208</v>
      </c>
      <c r="AG46" s="52">
        <f t="shared" si="56"/>
        <v>6073.8720121951246</v>
      </c>
    </row>
    <row r="47" spans="3:33" x14ac:dyDescent="0.25">
      <c r="C47">
        <f t="shared" si="29"/>
        <v>0.42000000000000021</v>
      </c>
      <c r="D47">
        <f t="shared" si="23"/>
        <v>5</v>
      </c>
      <c r="E47" s="9">
        <f t="shared" si="32"/>
        <v>2.100000000000001</v>
      </c>
      <c r="F47" s="1">
        <f t="shared" si="33"/>
        <v>0.47619047619047594</v>
      </c>
      <c r="H47" s="22">
        <f t="shared" si="34"/>
        <v>0.43155746022500086</v>
      </c>
      <c r="I47">
        <f t="shared" si="35"/>
        <v>9.4293461042980198E-3</v>
      </c>
      <c r="K47" t="str">
        <f t="shared" si="36"/>
        <v xml:space="preserve"> </v>
      </c>
      <c r="L47" s="22">
        <f t="shared" si="37"/>
        <v>0.4100000000000002</v>
      </c>
      <c r="M47">
        <f t="shared" si="38"/>
        <v>0.47619047619047594</v>
      </c>
      <c r="N47">
        <f t="shared" si="39"/>
        <v>0.95238095238095188</v>
      </c>
      <c r="O47" s="1">
        <f t="shared" si="40"/>
        <v>0.46622984090000269</v>
      </c>
      <c r="Q47" s="32">
        <f t="shared" si="41"/>
        <v>0.4100000000000002</v>
      </c>
      <c r="R47" s="65">
        <f t="shared" si="42"/>
        <v>2.100000000000001</v>
      </c>
      <c r="S47" s="65">
        <f t="shared" si="43"/>
        <v>2060.1000000000013</v>
      </c>
      <c r="T47" s="66">
        <f t="shared" si="44"/>
        <v>4326.2100000000046</v>
      </c>
      <c r="U47" s="65">
        <f t="shared" si="45"/>
        <v>0.47619047619047594</v>
      </c>
      <c r="V47" s="65">
        <f t="shared" si="46"/>
        <v>226.75736961451224</v>
      </c>
      <c r="W47" s="65">
        <f t="shared" si="47"/>
        <v>476.19047619047592</v>
      </c>
      <c r="X47" s="67">
        <f t="shared" si="48"/>
        <v>4802.4004761904807</v>
      </c>
      <c r="Y47" s="1">
        <f t="shared" si="49"/>
        <v>0.42155746022500085</v>
      </c>
      <c r="AA47" s="65">
        <f t="shared" si="50"/>
        <v>2.100000000000001</v>
      </c>
      <c r="AB47" s="65">
        <f t="shared" si="51"/>
        <v>2060.1000000000013</v>
      </c>
      <c r="AC47" s="65">
        <f t="shared" si="52"/>
        <v>4326.2100000000046</v>
      </c>
      <c r="AD47">
        <f t="shared" si="53"/>
        <v>0.95238095238095188</v>
      </c>
      <c r="AE47">
        <f t="shared" si="54"/>
        <v>907.02947845804897</v>
      </c>
      <c r="AF47">
        <f t="shared" si="55"/>
        <v>1904.7619047619037</v>
      </c>
      <c r="AG47" s="52">
        <f t="shared" si="56"/>
        <v>6230.9719047619083</v>
      </c>
    </row>
    <row r="48" spans="3:33" x14ac:dyDescent="0.25">
      <c r="C48">
        <f t="shared" si="29"/>
        <v>0.43000000000000022</v>
      </c>
      <c r="D48">
        <f t="shared" si="23"/>
        <v>5</v>
      </c>
      <c r="E48" s="9">
        <f t="shared" si="32"/>
        <v>2.1500000000000012</v>
      </c>
      <c r="F48" s="1">
        <f t="shared" si="33"/>
        <v>0.46511627906976716</v>
      </c>
      <c r="H48" s="22">
        <f t="shared" si="34"/>
        <v>0.44102615458999539</v>
      </c>
      <c r="I48">
        <f t="shared" si="35"/>
        <v>9.4686943649945343E-3</v>
      </c>
      <c r="K48" t="str">
        <f t="shared" si="36"/>
        <v xml:space="preserve"> </v>
      </c>
      <c r="L48" s="22">
        <f t="shared" si="37"/>
        <v>0.42000000000000021</v>
      </c>
      <c r="M48">
        <f t="shared" si="38"/>
        <v>0.46511627906976716</v>
      </c>
      <c r="N48">
        <f t="shared" si="39"/>
        <v>0.93023255813953432</v>
      </c>
      <c r="O48" s="1">
        <f t="shared" si="40"/>
        <v>0.47410461835998097</v>
      </c>
      <c r="Q48" s="118">
        <f t="shared" si="41"/>
        <v>0.42000000000000021</v>
      </c>
      <c r="R48" s="92">
        <f t="shared" si="42"/>
        <v>2.1500000000000012</v>
      </c>
      <c r="S48" s="92">
        <f t="shared" si="43"/>
        <v>2109.150000000001</v>
      </c>
      <c r="T48" s="93">
        <f t="shared" si="44"/>
        <v>4534.6725000000051</v>
      </c>
      <c r="U48" s="92">
        <f t="shared" si="45"/>
        <v>0.46511627906976716</v>
      </c>
      <c r="V48" s="92">
        <f t="shared" si="46"/>
        <v>216.33315305570554</v>
      </c>
      <c r="W48" s="92">
        <f t="shared" si="47"/>
        <v>465.11627906976719</v>
      </c>
      <c r="X48" s="112">
        <f t="shared" si="48"/>
        <v>4999.7887790697723</v>
      </c>
      <c r="Y48" s="116">
        <f t="shared" si="49"/>
        <v>0.43102615458999538</v>
      </c>
      <c r="AA48" s="65">
        <f t="shared" si="50"/>
        <v>2.1500000000000012</v>
      </c>
      <c r="AB48" s="65">
        <f t="shared" si="51"/>
        <v>2109.150000000001</v>
      </c>
      <c r="AC48" s="65">
        <f t="shared" si="52"/>
        <v>4534.6725000000051</v>
      </c>
      <c r="AD48">
        <f t="shared" si="53"/>
        <v>0.93023255813953432</v>
      </c>
      <c r="AE48">
        <f t="shared" si="54"/>
        <v>865.33261222282215</v>
      </c>
      <c r="AF48">
        <f t="shared" si="55"/>
        <v>1860.4651162790688</v>
      </c>
      <c r="AG48" s="52">
        <f t="shared" si="56"/>
        <v>6395.1376162790739</v>
      </c>
    </row>
    <row r="49" spans="3:33" x14ac:dyDescent="0.25">
      <c r="C49">
        <f t="shared" si="29"/>
        <v>0.44000000000000022</v>
      </c>
      <c r="D49">
        <f t="shared" si="23"/>
        <v>5</v>
      </c>
      <c r="E49" s="9">
        <f t="shared" si="32"/>
        <v>2.2000000000000011</v>
      </c>
      <c r="F49" s="1">
        <f t="shared" si="33"/>
        <v>0.45454545454545431</v>
      </c>
      <c r="H49" s="22">
        <f t="shared" si="34"/>
        <v>0.45053066107277973</v>
      </c>
      <c r="I49">
        <f t="shared" si="35"/>
        <v>9.5045064827843362E-3</v>
      </c>
      <c r="K49" t="str">
        <f t="shared" si="36"/>
        <v xml:space="preserve"> </v>
      </c>
      <c r="L49" s="22">
        <f t="shared" si="37"/>
        <v>0.43000000000000022</v>
      </c>
      <c r="M49">
        <f t="shared" si="38"/>
        <v>0.45454545454545431</v>
      </c>
      <c r="N49">
        <f t="shared" si="39"/>
        <v>0.90909090909090862</v>
      </c>
      <c r="O49" s="1">
        <f t="shared" si="40"/>
        <v>0.48212264429111817</v>
      </c>
      <c r="Q49" s="32">
        <f t="shared" si="41"/>
        <v>0.43000000000000022</v>
      </c>
      <c r="R49" s="65">
        <f t="shared" si="42"/>
        <v>2.2000000000000011</v>
      </c>
      <c r="S49" s="65">
        <f t="shared" si="43"/>
        <v>2158.2000000000012</v>
      </c>
      <c r="T49" s="66">
        <f t="shared" si="44"/>
        <v>4748.0400000000045</v>
      </c>
      <c r="U49" s="65">
        <f t="shared" si="45"/>
        <v>0.45454545454545431</v>
      </c>
      <c r="V49" s="65">
        <f t="shared" si="46"/>
        <v>206.61157024793366</v>
      </c>
      <c r="W49" s="65">
        <f t="shared" si="47"/>
        <v>454.54545454545428</v>
      </c>
      <c r="X49" s="67">
        <f t="shared" si="48"/>
        <v>5202.5854545454586</v>
      </c>
      <c r="Y49" s="1">
        <f t="shared" si="49"/>
        <v>0.44053066107277972</v>
      </c>
      <c r="AA49" s="65">
        <f t="shared" si="50"/>
        <v>2.2000000000000011</v>
      </c>
      <c r="AB49" s="65">
        <f t="shared" si="51"/>
        <v>2158.2000000000012</v>
      </c>
      <c r="AC49" s="65">
        <f t="shared" si="52"/>
        <v>4748.0400000000045</v>
      </c>
      <c r="AD49">
        <f t="shared" si="53"/>
        <v>0.90909090909090862</v>
      </c>
      <c r="AE49">
        <f t="shared" si="54"/>
        <v>826.44628099173462</v>
      </c>
      <c r="AF49">
        <f t="shared" si="55"/>
        <v>1818.1818181818171</v>
      </c>
      <c r="AG49" s="52">
        <f t="shared" si="56"/>
        <v>6566.2218181818216</v>
      </c>
    </row>
    <row r="50" spans="3:33" x14ac:dyDescent="0.25">
      <c r="C50">
        <f t="shared" si="29"/>
        <v>0.45000000000000023</v>
      </c>
      <c r="D50">
        <f t="shared" si="23"/>
        <v>5</v>
      </c>
      <c r="E50" s="9">
        <f t="shared" si="32"/>
        <v>2.2500000000000013</v>
      </c>
      <c r="F50" s="1">
        <f t="shared" si="33"/>
        <v>0.4444444444444442</v>
      </c>
      <c r="H50" s="22">
        <f t="shared" si="34"/>
        <v>0.46006783201822299</v>
      </c>
      <c r="I50">
        <f t="shared" si="35"/>
        <v>9.5371709454432629E-3</v>
      </c>
      <c r="K50" t="str">
        <f t="shared" si="36"/>
        <v xml:space="preserve"> </v>
      </c>
      <c r="L50" s="22">
        <f t="shared" si="37"/>
        <v>0.44000000000000022</v>
      </c>
      <c r="M50">
        <f t="shared" si="38"/>
        <v>0.4444444444444442</v>
      </c>
      <c r="N50">
        <f t="shared" si="39"/>
        <v>0.8888888888888884</v>
      </c>
      <c r="O50" s="1">
        <f t="shared" si="40"/>
        <v>0.49027132807289131</v>
      </c>
      <c r="Q50" s="32">
        <f t="shared" si="41"/>
        <v>0.44000000000000022</v>
      </c>
      <c r="R50" s="65">
        <f t="shared" si="42"/>
        <v>2.2500000000000013</v>
      </c>
      <c r="S50" s="65">
        <f t="shared" si="43"/>
        <v>2207.2500000000009</v>
      </c>
      <c r="T50" s="66">
        <f t="shared" si="44"/>
        <v>4966.3125000000045</v>
      </c>
      <c r="U50" s="65">
        <f t="shared" si="45"/>
        <v>0.4444444444444442</v>
      </c>
      <c r="V50" s="65">
        <f t="shared" si="46"/>
        <v>197.53086419753063</v>
      </c>
      <c r="W50" s="65">
        <f t="shared" si="47"/>
        <v>444.44444444444417</v>
      </c>
      <c r="X50" s="67">
        <f t="shared" si="48"/>
        <v>5410.7569444444489</v>
      </c>
      <c r="Y50" s="1">
        <f t="shared" si="49"/>
        <v>0.45006783201822298</v>
      </c>
      <c r="AA50" s="65">
        <f t="shared" si="50"/>
        <v>2.2500000000000013</v>
      </c>
      <c r="AB50" s="65">
        <f t="shared" si="51"/>
        <v>2207.2500000000009</v>
      </c>
      <c r="AC50" s="65">
        <f t="shared" si="52"/>
        <v>4966.3125000000045</v>
      </c>
      <c r="AD50">
        <f t="shared" si="53"/>
        <v>0.8888888888888884</v>
      </c>
      <c r="AE50">
        <f t="shared" si="54"/>
        <v>790.12345679012253</v>
      </c>
      <c r="AF50">
        <f t="shared" si="55"/>
        <v>1777.7777777777767</v>
      </c>
      <c r="AG50" s="52">
        <f t="shared" si="56"/>
        <v>6744.090277777781</v>
      </c>
    </row>
    <row r="51" spans="3:33" x14ac:dyDescent="0.25">
      <c r="C51">
        <f t="shared" si="29"/>
        <v>0.46000000000000024</v>
      </c>
      <c r="D51">
        <f t="shared" si="23"/>
        <v>5</v>
      </c>
      <c r="E51" s="9">
        <f t="shared" si="32"/>
        <v>2.3000000000000012</v>
      </c>
      <c r="F51" s="1">
        <f t="shared" si="33"/>
        <v>0.43478260869565194</v>
      </c>
      <c r="H51" s="22">
        <f t="shared" si="34"/>
        <v>0.46963485814598377</v>
      </c>
      <c r="I51">
        <f t="shared" si="35"/>
        <v>9.5670261277607804E-3</v>
      </c>
      <c r="K51" t="str">
        <f t="shared" si="36"/>
        <v xml:space="preserve"> </v>
      </c>
      <c r="L51" s="22">
        <f t="shared" si="37"/>
        <v>0.45000000000000023</v>
      </c>
      <c r="M51">
        <f t="shared" si="38"/>
        <v>0.43478260869565194</v>
      </c>
      <c r="N51">
        <f t="shared" si="39"/>
        <v>0.86956521739130388</v>
      </c>
      <c r="O51" s="1">
        <f t="shared" si="40"/>
        <v>0.49853943258393429</v>
      </c>
      <c r="Q51" s="32">
        <f t="shared" si="41"/>
        <v>0.45000000000000023</v>
      </c>
      <c r="R51" s="65">
        <f t="shared" si="42"/>
        <v>2.3000000000000012</v>
      </c>
      <c r="S51" s="65">
        <f t="shared" si="43"/>
        <v>2256.3000000000011</v>
      </c>
      <c r="T51" s="66">
        <f t="shared" si="44"/>
        <v>5189.4900000000052</v>
      </c>
      <c r="U51" s="65">
        <f t="shared" si="45"/>
        <v>0.43478260869565194</v>
      </c>
      <c r="V51" s="65">
        <f t="shared" si="46"/>
        <v>189.03591682419639</v>
      </c>
      <c r="W51" s="65">
        <f t="shared" si="47"/>
        <v>434.7826086956519</v>
      </c>
      <c r="X51" s="67">
        <f t="shared" si="48"/>
        <v>5624.2726086956573</v>
      </c>
      <c r="Y51" s="1">
        <f t="shared" si="49"/>
        <v>0.45963485814598376</v>
      </c>
      <c r="AA51" s="65">
        <f t="shared" si="50"/>
        <v>2.3000000000000012</v>
      </c>
      <c r="AB51" s="65">
        <f t="shared" si="51"/>
        <v>2256.3000000000011</v>
      </c>
      <c r="AC51" s="65">
        <f t="shared" si="52"/>
        <v>5189.4900000000052</v>
      </c>
      <c r="AD51">
        <f t="shared" si="53"/>
        <v>0.86956521739130388</v>
      </c>
      <c r="AE51">
        <f t="shared" si="54"/>
        <v>756.14366729678557</v>
      </c>
      <c r="AF51">
        <f t="shared" si="55"/>
        <v>1739.1304347826076</v>
      </c>
      <c r="AG51" s="52">
        <f t="shared" si="56"/>
        <v>6928.6204347826133</v>
      </c>
    </row>
    <row r="52" spans="3:33" x14ac:dyDescent="0.25">
      <c r="C52">
        <f t="shared" si="29"/>
        <v>0.47000000000000025</v>
      </c>
      <c r="D52">
        <f t="shared" si="23"/>
        <v>5</v>
      </c>
      <c r="E52" s="9">
        <f t="shared" si="32"/>
        <v>2.3500000000000014</v>
      </c>
      <c r="F52" s="1">
        <f t="shared" si="33"/>
        <v>0.42553191489361675</v>
      </c>
      <c r="H52" s="22">
        <f t="shared" si="34"/>
        <v>0.47922922582023614</v>
      </c>
      <c r="I52">
        <f t="shared" si="35"/>
        <v>9.5943676742523687E-3</v>
      </c>
      <c r="K52" t="str">
        <f t="shared" si="36"/>
        <v xml:space="preserve"> </v>
      </c>
      <c r="L52" s="22">
        <f t="shared" si="37"/>
        <v>0.46000000000000024</v>
      </c>
      <c r="M52">
        <f t="shared" si="38"/>
        <v>0.42553191489361675</v>
      </c>
      <c r="N52">
        <f t="shared" si="39"/>
        <v>0.85106382978723349</v>
      </c>
      <c r="O52" s="1">
        <f t="shared" si="40"/>
        <v>0.50691690328094385</v>
      </c>
      <c r="Q52" s="32">
        <f t="shared" si="41"/>
        <v>0.46000000000000024</v>
      </c>
      <c r="R52" s="65">
        <f t="shared" si="42"/>
        <v>2.3500000000000014</v>
      </c>
      <c r="S52" s="65">
        <f t="shared" si="43"/>
        <v>2305.3500000000017</v>
      </c>
      <c r="T52" s="66">
        <f t="shared" si="44"/>
        <v>5417.5725000000075</v>
      </c>
      <c r="U52" s="65">
        <f t="shared" si="45"/>
        <v>0.42553191489361675</v>
      </c>
      <c r="V52" s="65">
        <f t="shared" si="46"/>
        <v>181.07741059302828</v>
      </c>
      <c r="W52" s="65">
        <f t="shared" si="47"/>
        <v>425.53191489361672</v>
      </c>
      <c r="X52" s="67">
        <f t="shared" si="48"/>
        <v>5843.1044148936244</v>
      </c>
      <c r="Y52" s="1">
        <f t="shared" si="49"/>
        <v>0.46922922582023613</v>
      </c>
      <c r="AA52" s="65">
        <f t="shared" si="50"/>
        <v>2.3500000000000014</v>
      </c>
      <c r="AB52" s="65">
        <f t="shared" si="51"/>
        <v>2305.3500000000017</v>
      </c>
      <c r="AC52" s="65">
        <f t="shared" si="52"/>
        <v>5417.5725000000075</v>
      </c>
      <c r="AD52">
        <f t="shared" si="53"/>
        <v>0.85106382978723349</v>
      </c>
      <c r="AE52">
        <f t="shared" si="54"/>
        <v>724.3096423721131</v>
      </c>
      <c r="AF52">
        <f t="shared" si="55"/>
        <v>1702.1276595744669</v>
      </c>
      <c r="AG52" s="52">
        <f t="shared" si="56"/>
        <v>7119.7001595744741</v>
      </c>
    </row>
    <row r="53" spans="3:33" x14ac:dyDescent="0.25">
      <c r="C53">
        <f t="shared" si="29"/>
        <v>0.48000000000000026</v>
      </c>
      <c r="D53">
        <f t="shared" si="23"/>
        <v>5</v>
      </c>
      <c r="E53" s="9">
        <f t="shared" si="32"/>
        <v>2.4000000000000012</v>
      </c>
      <c r="F53" s="1">
        <f t="shared" si="33"/>
        <v>0.41666666666666646</v>
      </c>
      <c r="H53" s="22">
        <f t="shared" si="34"/>
        <v>0.48884868048476637</v>
      </c>
      <c r="I53">
        <f t="shared" si="35"/>
        <v>9.6194546645302359E-3</v>
      </c>
      <c r="K53" t="str">
        <f t="shared" si="36"/>
        <v xml:space="preserve"> </v>
      </c>
      <c r="L53" s="22">
        <f t="shared" si="37"/>
        <v>0.47000000000000025</v>
      </c>
      <c r="M53">
        <f t="shared" si="38"/>
        <v>0.41666666666666646</v>
      </c>
      <c r="N53">
        <f t="shared" si="39"/>
        <v>0.83333333333333293</v>
      </c>
      <c r="O53" s="1">
        <f t="shared" si="40"/>
        <v>0.51539472193906466</v>
      </c>
      <c r="Q53" s="32">
        <f t="shared" si="41"/>
        <v>0.47000000000000025</v>
      </c>
      <c r="R53" s="65">
        <f t="shared" si="42"/>
        <v>2.4000000000000012</v>
      </c>
      <c r="S53" s="65">
        <f t="shared" si="43"/>
        <v>2354.4000000000015</v>
      </c>
      <c r="T53" s="66">
        <f t="shared" si="44"/>
        <v>5650.5600000000068</v>
      </c>
      <c r="U53" s="65">
        <f t="shared" si="45"/>
        <v>0.41666666666666646</v>
      </c>
      <c r="V53" s="65">
        <f t="shared" si="46"/>
        <v>173.61111111111094</v>
      </c>
      <c r="W53" s="65">
        <f t="shared" si="47"/>
        <v>416.66666666666646</v>
      </c>
      <c r="X53" s="67">
        <f t="shared" si="48"/>
        <v>6067.2266666666728</v>
      </c>
      <c r="Y53" s="1">
        <f t="shared" si="49"/>
        <v>0.47884868048476636</v>
      </c>
      <c r="AA53" s="65">
        <f t="shared" si="50"/>
        <v>2.4000000000000012</v>
      </c>
      <c r="AB53" s="65">
        <f t="shared" si="51"/>
        <v>2354.4000000000015</v>
      </c>
      <c r="AC53" s="65">
        <f t="shared" si="52"/>
        <v>5650.5600000000068</v>
      </c>
      <c r="AD53">
        <f t="shared" si="53"/>
        <v>0.83333333333333293</v>
      </c>
      <c r="AE53">
        <f t="shared" si="54"/>
        <v>694.44444444444377</v>
      </c>
      <c r="AF53">
        <f t="shared" si="55"/>
        <v>1666.6666666666658</v>
      </c>
      <c r="AG53" s="52">
        <f t="shared" si="56"/>
        <v>7317.2266666666728</v>
      </c>
    </row>
    <row r="54" spans="3:33" x14ac:dyDescent="0.25">
      <c r="C54">
        <f t="shared" si="29"/>
        <v>0.49000000000000027</v>
      </c>
      <c r="D54">
        <f t="shared" si="23"/>
        <v>5</v>
      </c>
      <c r="E54" s="9">
        <f t="shared" si="32"/>
        <v>2.4500000000000015</v>
      </c>
      <c r="F54" s="1">
        <f t="shared" si="33"/>
        <v>0.40816326530612218</v>
      </c>
      <c r="H54" s="22">
        <f t="shared" si="34"/>
        <v>0.49849119526734764</v>
      </c>
      <c r="I54">
        <f t="shared" si="35"/>
        <v>9.6425147825812685E-3</v>
      </c>
      <c r="K54" t="str">
        <f t="shared" si="36"/>
        <v xml:space="preserve"> </v>
      </c>
      <c r="L54" s="22">
        <f t="shared" si="37"/>
        <v>0.48000000000000026</v>
      </c>
      <c r="M54">
        <f t="shared" si="38"/>
        <v>0.40816326530612218</v>
      </c>
      <c r="N54">
        <f t="shared" si="39"/>
        <v>0.81632653061224436</v>
      </c>
      <c r="O54" s="1">
        <f t="shared" si="40"/>
        <v>0.52396478106938982</v>
      </c>
      <c r="Q54" s="32">
        <f t="shared" si="41"/>
        <v>0.48000000000000026</v>
      </c>
      <c r="R54" s="65">
        <f t="shared" si="42"/>
        <v>2.4500000000000015</v>
      </c>
      <c r="S54" s="65">
        <f t="shared" si="43"/>
        <v>2403.4500000000016</v>
      </c>
      <c r="T54" s="66">
        <f t="shared" si="44"/>
        <v>5888.4525000000076</v>
      </c>
      <c r="U54" s="65">
        <f t="shared" si="45"/>
        <v>0.40816326530612218</v>
      </c>
      <c r="V54" s="65">
        <f t="shared" si="46"/>
        <v>166.5972511453559</v>
      </c>
      <c r="W54" s="65">
        <f t="shared" si="47"/>
        <v>408.16326530612218</v>
      </c>
      <c r="X54" s="67">
        <f t="shared" si="48"/>
        <v>6296.61576530613</v>
      </c>
      <c r="Y54" s="1">
        <f t="shared" si="49"/>
        <v>0.48849119526734763</v>
      </c>
      <c r="AA54" s="65">
        <f t="shared" si="50"/>
        <v>2.4500000000000015</v>
      </c>
      <c r="AB54" s="65">
        <f t="shared" si="51"/>
        <v>2403.4500000000016</v>
      </c>
      <c r="AC54" s="65">
        <f t="shared" si="52"/>
        <v>5888.4525000000076</v>
      </c>
      <c r="AD54">
        <f t="shared" si="53"/>
        <v>0.81632653061224436</v>
      </c>
      <c r="AE54">
        <f t="shared" si="54"/>
        <v>666.38900458142359</v>
      </c>
      <c r="AF54">
        <f t="shared" si="55"/>
        <v>1632.6530612244887</v>
      </c>
      <c r="AG54" s="52">
        <f t="shared" si="56"/>
        <v>7521.1055612244963</v>
      </c>
    </row>
    <row r="55" spans="3:33" x14ac:dyDescent="0.25">
      <c r="C55">
        <f t="shared" si="29"/>
        <v>0.50000000000000022</v>
      </c>
      <c r="D55">
        <f t="shared" si="23"/>
        <v>5</v>
      </c>
      <c r="E55" s="9">
        <f t="shared" si="32"/>
        <v>2.5000000000000009</v>
      </c>
      <c r="F55" s="1">
        <f t="shared" si="33"/>
        <v>0.39999999999999986</v>
      </c>
      <c r="H55" s="22">
        <f t="shared" si="34"/>
        <v>0.50815494393476068</v>
      </c>
      <c r="I55">
        <f t="shared" si="35"/>
        <v>9.6637486674130413E-3</v>
      </c>
      <c r="K55" t="str">
        <f t="shared" si="36"/>
        <v xml:space="preserve"> </v>
      </c>
      <c r="L55" s="22">
        <f t="shared" si="37"/>
        <v>0.49000000000000027</v>
      </c>
      <c r="M55">
        <f t="shared" si="38"/>
        <v>0.39999999999999986</v>
      </c>
      <c r="N55">
        <f t="shared" si="39"/>
        <v>0.79999999999999971</v>
      </c>
      <c r="O55" s="1">
        <f t="shared" si="40"/>
        <v>0.53261977573904196</v>
      </c>
      <c r="Q55" s="32">
        <f t="shared" si="41"/>
        <v>0.49000000000000027</v>
      </c>
      <c r="R55" s="65">
        <f t="shared" si="42"/>
        <v>2.5000000000000009</v>
      </c>
      <c r="S55" s="65">
        <f t="shared" si="43"/>
        <v>2452.5000000000009</v>
      </c>
      <c r="T55" s="66">
        <f t="shared" si="44"/>
        <v>6131.2500000000045</v>
      </c>
      <c r="U55" s="65">
        <f t="shared" si="45"/>
        <v>0.39999999999999986</v>
      </c>
      <c r="V55" s="65">
        <f t="shared" si="46"/>
        <v>159.99999999999989</v>
      </c>
      <c r="W55" s="65">
        <f t="shared" si="47"/>
        <v>399.99999999999989</v>
      </c>
      <c r="X55" s="67">
        <f t="shared" si="48"/>
        <v>6531.2500000000045</v>
      </c>
      <c r="Y55" s="1">
        <f t="shared" si="49"/>
        <v>0.49815494393476073</v>
      </c>
      <c r="AA55" s="65">
        <f t="shared" si="50"/>
        <v>2.5000000000000009</v>
      </c>
      <c r="AB55" s="65">
        <f t="shared" si="51"/>
        <v>2452.5000000000009</v>
      </c>
      <c r="AC55" s="65">
        <f t="shared" si="52"/>
        <v>6131.2500000000045</v>
      </c>
      <c r="AD55">
        <f t="shared" si="53"/>
        <v>0.79999999999999971</v>
      </c>
      <c r="AE55">
        <f t="shared" si="54"/>
        <v>639.99999999999955</v>
      </c>
      <c r="AF55">
        <f t="shared" si="55"/>
        <v>1599.9999999999995</v>
      </c>
      <c r="AG55" s="52">
        <f t="shared" si="56"/>
        <v>7731.2500000000036</v>
      </c>
    </row>
    <row r="56" spans="3:33" x14ac:dyDescent="0.25">
      <c r="C56">
        <f t="shared" si="29"/>
        <v>0.51000000000000023</v>
      </c>
      <c r="D56">
        <f t="shared" si="23"/>
        <v>5</v>
      </c>
      <c r="E56" s="9">
        <f t="shared" si="32"/>
        <v>2.5500000000000012</v>
      </c>
      <c r="F56" s="1">
        <f t="shared" si="33"/>
        <v>0.39215686274509787</v>
      </c>
      <c r="H56" s="22">
        <f t="shared" si="34"/>
        <v>0.51783827752283806</v>
      </c>
      <c r="I56">
        <f t="shared" si="35"/>
        <v>9.6833335880773808E-3</v>
      </c>
      <c r="K56" t="str">
        <f t="shared" si="36"/>
        <v xml:space="preserve"> </v>
      </c>
      <c r="L56" s="22">
        <f t="shared" si="37"/>
        <v>0.50000000000000022</v>
      </c>
      <c r="M56">
        <f t="shared" si="38"/>
        <v>0.39215686274509787</v>
      </c>
      <c r="N56">
        <f t="shared" si="39"/>
        <v>0.78431372549019573</v>
      </c>
      <c r="O56" s="1">
        <f t="shared" si="40"/>
        <v>0.54135311009135145</v>
      </c>
      <c r="Q56" s="32">
        <f t="shared" si="41"/>
        <v>0.50000000000000022</v>
      </c>
      <c r="R56" s="65">
        <f t="shared" si="42"/>
        <v>2.5500000000000012</v>
      </c>
      <c r="S56" s="65">
        <f t="shared" si="43"/>
        <v>2501.5500000000011</v>
      </c>
      <c r="T56" s="66">
        <f t="shared" si="44"/>
        <v>6378.9525000000058</v>
      </c>
      <c r="U56" s="65">
        <f t="shared" si="45"/>
        <v>0.39215686274509787</v>
      </c>
      <c r="V56" s="65">
        <f t="shared" si="46"/>
        <v>153.78700499807752</v>
      </c>
      <c r="W56" s="65">
        <f t="shared" si="47"/>
        <v>392.15686274509784</v>
      </c>
      <c r="X56" s="67">
        <f t="shared" si="48"/>
        <v>6771.1093627451037</v>
      </c>
      <c r="Y56" s="1">
        <f t="shared" si="49"/>
        <v>0.50783827752283806</v>
      </c>
      <c r="AA56" s="65">
        <f t="shared" si="50"/>
        <v>2.5500000000000012</v>
      </c>
      <c r="AB56" s="65">
        <f t="shared" si="51"/>
        <v>2501.5500000000011</v>
      </c>
      <c r="AC56" s="65">
        <f t="shared" si="52"/>
        <v>6378.9525000000058</v>
      </c>
      <c r="AD56">
        <f t="shared" si="53"/>
        <v>0.78431372549019573</v>
      </c>
      <c r="AE56">
        <f t="shared" si="54"/>
        <v>615.14801999231008</v>
      </c>
      <c r="AF56">
        <f t="shared" si="55"/>
        <v>1568.6274509803914</v>
      </c>
      <c r="AG56" s="52">
        <f t="shared" si="56"/>
        <v>7947.5799509803974</v>
      </c>
    </row>
    <row r="57" spans="3:33" x14ac:dyDescent="0.25">
      <c r="C57">
        <f t="shared" si="29"/>
        <v>0.52000000000000024</v>
      </c>
      <c r="D57">
        <f t="shared" si="23"/>
        <v>5</v>
      </c>
      <c r="E57" s="9">
        <f t="shared" si="32"/>
        <v>2.6000000000000014</v>
      </c>
      <c r="F57" s="1">
        <f t="shared" si="33"/>
        <v>0.38461538461538441</v>
      </c>
      <c r="H57" s="22">
        <f t="shared" si="34"/>
        <v>0.52753970408169448</v>
      </c>
      <c r="I57">
        <f t="shared" si="35"/>
        <v>9.7014265588564186E-3</v>
      </c>
      <c r="K57" t="str">
        <f t="shared" si="36"/>
        <v xml:space="preserve"> </v>
      </c>
      <c r="L57" s="22">
        <f t="shared" si="37"/>
        <v>0.51000000000000023</v>
      </c>
      <c r="M57">
        <f t="shared" si="38"/>
        <v>0.38461538461538441</v>
      </c>
      <c r="N57">
        <f t="shared" si="39"/>
        <v>0.76923076923076883</v>
      </c>
      <c r="O57" s="1">
        <f t="shared" si="40"/>
        <v>0.55015881632677699</v>
      </c>
      <c r="Q57" s="32">
        <f t="shared" si="41"/>
        <v>0.51000000000000023</v>
      </c>
      <c r="R57" s="65">
        <f t="shared" si="42"/>
        <v>2.6000000000000014</v>
      </c>
      <c r="S57" s="65">
        <f t="shared" si="43"/>
        <v>2550.6000000000013</v>
      </c>
      <c r="T57" s="66">
        <f t="shared" si="44"/>
        <v>6631.5600000000068</v>
      </c>
      <c r="U57" s="65">
        <f t="shared" si="45"/>
        <v>0.38461538461538441</v>
      </c>
      <c r="V57" s="65">
        <f t="shared" si="46"/>
        <v>147.92899408284006</v>
      </c>
      <c r="W57" s="65">
        <f t="shared" si="47"/>
        <v>384.61538461538436</v>
      </c>
      <c r="X57" s="67">
        <f t="shared" si="48"/>
        <v>7016.1753846153915</v>
      </c>
      <c r="Y57" s="1">
        <f t="shared" si="49"/>
        <v>0.51753970408169447</v>
      </c>
      <c r="AA57" s="65">
        <f t="shared" si="50"/>
        <v>2.6000000000000014</v>
      </c>
      <c r="AB57" s="65">
        <f t="shared" si="51"/>
        <v>2550.6000000000013</v>
      </c>
      <c r="AC57" s="65">
        <f t="shared" si="52"/>
        <v>6631.5600000000068</v>
      </c>
      <c r="AD57">
        <f t="shared" si="53"/>
        <v>0.76923076923076883</v>
      </c>
      <c r="AE57">
        <f t="shared" si="54"/>
        <v>591.71597633136025</v>
      </c>
      <c r="AF57">
        <f t="shared" si="55"/>
        <v>1538.4615384615374</v>
      </c>
      <c r="AG57" s="52">
        <f t="shared" si="56"/>
        <v>8170.021538461544</v>
      </c>
    </row>
    <row r="58" spans="3:33" x14ac:dyDescent="0.25">
      <c r="C58">
        <f t="shared" si="29"/>
        <v>0.53000000000000025</v>
      </c>
      <c r="D58">
        <f t="shared" si="23"/>
        <v>5</v>
      </c>
      <c r="E58" s="9">
        <f t="shared" si="32"/>
        <v>2.6500000000000012</v>
      </c>
      <c r="F58" s="1">
        <f t="shared" si="33"/>
        <v>0.37735849056603754</v>
      </c>
      <c r="H58" s="22">
        <f t="shared" si="34"/>
        <v>0.53725787107045275</v>
      </c>
      <c r="I58">
        <f t="shared" si="35"/>
        <v>9.71816698875827E-3</v>
      </c>
      <c r="K58" t="str">
        <f t="shared" si="36"/>
        <v xml:space="preserve"> </v>
      </c>
      <c r="L58" s="22">
        <f t="shared" si="37"/>
        <v>0.52000000000000024</v>
      </c>
      <c r="M58">
        <f t="shared" si="38"/>
        <v>0.37735849056603754</v>
      </c>
      <c r="N58">
        <f t="shared" si="39"/>
        <v>0.75471698113207508</v>
      </c>
      <c r="O58" s="1">
        <f t="shared" si="40"/>
        <v>0.55903148428181026</v>
      </c>
      <c r="Q58" s="32">
        <f t="shared" si="41"/>
        <v>0.52000000000000024</v>
      </c>
      <c r="R58" s="65">
        <f t="shared" si="42"/>
        <v>2.6500000000000012</v>
      </c>
      <c r="S58" s="65">
        <f t="shared" si="43"/>
        <v>2599.6500000000015</v>
      </c>
      <c r="T58" s="66">
        <f t="shared" si="44"/>
        <v>6889.0725000000075</v>
      </c>
      <c r="U58" s="65">
        <f t="shared" si="45"/>
        <v>0.37735849056603754</v>
      </c>
      <c r="V58" s="65">
        <f t="shared" si="46"/>
        <v>142.39943040227823</v>
      </c>
      <c r="W58" s="65">
        <f t="shared" si="47"/>
        <v>377.35849056603746</v>
      </c>
      <c r="X58" s="67">
        <f t="shared" si="48"/>
        <v>7266.4309905660448</v>
      </c>
      <c r="Y58" s="1">
        <f t="shared" si="49"/>
        <v>0.52725787107045274</v>
      </c>
      <c r="AA58" s="65">
        <f t="shared" si="50"/>
        <v>2.6500000000000012</v>
      </c>
      <c r="AB58" s="65">
        <f t="shared" si="51"/>
        <v>2599.6500000000015</v>
      </c>
      <c r="AC58" s="65">
        <f t="shared" si="52"/>
        <v>6889.0725000000075</v>
      </c>
      <c r="AD58">
        <f t="shared" si="53"/>
        <v>0.75471698113207508</v>
      </c>
      <c r="AE58">
        <f t="shared" si="54"/>
        <v>569.59772160911291</v>
      </c>
      <c r="AF58">
        <f t="shared" si="55"/>
        <v>1509.4339622641498</v>
      </c>
      <c r="AG58" s="52">
        <f t="shared" si="56"/>
        <v>8398.5064622641567</v>
      </c>
    </row>
    <row r="59" spans="3:33" x14ac:dyDescent="0.25">
      <c r="C59">
        <f t="shared" si="29"/>
        <v>0.54000000000000026</v>
      </c>
      <c r="D59">
        <f t="shared" si="23"/>
        <v>5</v>
      </c>
      <c r="E59" s="9">
        <f t="shared" si="32"/>
        <v>2.7000000000000011</v>
      </c>
      <c r="F59" s="1">
        <f t="shared" si="33"/>
        <v>0.37037037037037024</v>
      </c>
      <c r="H59" s="22">
        <f t="shared" si="34"/>
        <v>0.54699155001265498</v>
      </c>
      <c r="I59">
        <f t="shared" si="35"/>
        <v>9.7336789422022285E-3</v>
      </c>
      <c r="K59" t="str">
        <f t="shared" si="36"/>
        <v xml:space="preserve"> </v>
      </c>
      <c r="L59" s="22">
        <f t="shared" si="37"/>
        <v>0.53000000000000025</v>
      </c>
      <c r="M59">
        <f t="shared" si="38"/>
        <v>0.37037037037037024</v>
      </c>
      <c r="N59">
        <f t="shared" si="39"/>
        <v>0.74074074074074048</v>
      </c>
      <c r="O59" s="1">
        <f t="shared" si="40"/>
        <v>0.56796620005061904</v>
      </c>
      <c r="Q59" s="32">
        <f t="shared" si="41"/>
        <v>0.53000000000000025</v>
      </c>
      <c r="R59" s="65">
        <f t="shared" si="42"/>
        <v>2.7000000000000011</v>
      </c>
      <c r="S59" s="65">
        <f t="shared" si="43"/>
        <v>2648.7000000000016</v>
      </c>
      <c r="T59" s="66">
        <f t="shared" si="44"/>
        <v>7151.4900000000071</v>
      </c>
      <c r="U59" s="65">
        <f t="shared" si="45"/>
        <v>0.37037037037037024</v>
      </c>
      <c r="V59" s="65">
        <f t="shared" si="46"/>
        <v>137.17421124828522</v>
      </c>
      <c r="W59" s="65">
        <f t="shared" si="47"/>
        <v>370.37037037037021</v>
      </c>
      <c r="X59" s="67">
        <f t="shared" si="48"/>
        <v>7521.8603703703775</v>
      </c>
      <c r="Y59" s="1">
        <f t="shared" si="49"/>
        <v>0.53699155001265497</v>
      </c>
      <c r="AA59" s="65">
        <f t="shared" si="50"/>
        <v>2.7000000000000011</v>
      </c>
      <c r="AB59" s="65">
        <f t="shared" si="51"/>
        <v>2648.7000000000016</v>
      </c>
      <c r="AC59" s="65">
        <f t="shared" si="52"/>
        <v>7151.4900000000071</v>
      </c>
      <c r="AD59">
        <f t="shared" si="53"/>
        <v>0.74074074074074048</v>
      </c>
      <c r="AE59">
        <f t="shared" si="54"/>
        <v>548.69684499314087</v>
      </c>
      <c r="AF59">
        <f t="shared" si="55"/>
        <v>1481.4814814814808</v>
      </c>
      <c r="AG59" s="52">
        <f t="shared" si="56"/>
        <v>8632.971481481487</v>
      </c>
    </row>
    <row r="60" spans="3:33" x14ac:dyDescent="0.25">
      <c r="C60">
        <f t="shared" si="29"/>
        <v>0.55000000000000027</v>
      </c>
      <c r="D60">
        <f t="shared" si="23"/>
        <v>5</v>
      </c>
      <c r="E60" s="9">
        <f t="shared" si="32"/>
        <v>2.7500000000000013</v>
      </c>
      <c r="F60" s="1">
        <f t="shared" si="33"/>
        <v>0.36363636363636348</v>
      </c>
      <c r="H60" s="22">
        <f t="shared" si="34"/>
        <v>0.55673962308657909</v>
      </c>
      <c r="I60">
        <f t="shared" si="35"/>
        <v>9.7480730739241128E-3</v>
      </c>
      <c r="K60" t="str">
        <f t="shared" si="36"/>
        <v xml:space="preserve"> </v>
      </c>
      <c r="L60" s="22">
        <f t="shared" si="37"/>
        <v>0.54000000000000026</v>
      </c>
      <c r="M60">
        <f t="shared" si="38"/>
        <v>0.36363636363636348</v>
      </c>
      <c r="N60">
        <f t="shared" si="39"/>
        <v>0.72727272727272696</v>
      </c>
      <c r="O60" s="1">
        <f t="shared" si="40"/>
        <v>0.5769584923463158</v>
      </c>
      <c r="Q60" s="32">
        <f t="shared" si="41"/>
        <v>0.54000000000000026</v>
      </c>
      <c r="R60" s="65">
        <f t="shared" si="42"/>
        <v>2.7500000000000013</v>
      </c>
      <c r="S60" s="65">
        <f t="shared" si="43"/>
        <v>2697.7500000000014</v>
      </c>
      <c r="T60" s="66">
        <f t="shared" si="44"/>
        <v>7418.8125000000073</v>
      </c>
      <c r="U60" s="65">
        <f t="shared" si="45"/>
        <v>0.36363636363636348</v>
      </c>
      <c r="V60" s="65">
        <f t="shared" si="46"/>
        <v>132.23140495867759</v>
      </c>
      <c r="W60" s="65">
        <f t="shared" si="47"/>
        <v>363.63636363636351</v>
      </c>
      <c r="X60" s="67">
        <f t="shared" si="48"/>
        <v>7782.4488636363712</v>
      </c>
      <c r="Y60" s="1">
        <f t="shared" si="49"/>
        <v>0.54673962308657909</v>
      </c>
      <c r="AA60" s="65">
        <f t="shared" si="50"/>
        <v>2.7500000000000013</v>
      </c>
      <c r="AB60" s="65">
        <f t="shared" si="51"/>
        <v>2697.7500000000014</v>
      </c>
      <c r="AC60" s="65">
        <f t="shared" si="52"/>
        <v>7418.8125000000073</v>
      </c>
      <c r="AD60">
        <f t="shared" si="53"/>
        <v>0.72727272727272696</v>
      </c>
      <c r="AE60">
        <f t="shared" si="54"/>
        <v>528.92561983471035</v>
      </c>
      <c r="AF60">
        <f t="shared" si="55"/>
        <v>1454.545454545454</v>
      </c>
      <c r="AG60" s="52">
        <f t="shared" si="56"/>
        <v>8873.3579545454613</v>
      </c>
    </row>
    <row r="61" spans="3:33" x14ac:dyDescent="0.25">
      <c r="C61">
        <f t="shared" si="29"/>
        <v>0.56000000000000028</v>
      </c>
      <c r="D61">
        <f t="shared" si="23"/>
        <v>5</v>
      </c>
      <c r="E61" s="9">
        <f t="shared" si="32"/>
        <v>2.8000000000000016</v>
      </c>
      <c r="F61" s="1">
        <f t="shared" si="33"/>
        <v>0.35714285714285693</v>
      </c>
      <c r="H61" s="22">
        <f t="shared" si="34"/>
        <v>0.56650107137656314</v>
      </c>
      <c r="I61">
        <f t="shared" si="35"/>
        <v>9.7614482899840427E-3</v>
      </c>
      <c r="K61" t="str">
        <f t="shared" si="36"/>
        <v xml:space="preserve"> </v>
      </c>
      <c r="L61" s="22">
        <f t="shared" si="37"/>
        <v>0.55000000000000027</v>
      </c>
      <c r="M61">
        <f t="shared" si="38"/>
        <v>0.35714285714285693</v>
      </c>
      <c r="N61">
        <f t="shared" si="39"/>
        <v>0.71428571428571386</v>
      </c>
      <c r="O61" s="1">
        <f t="shared" si="40"/>
        <v>0.58600428550625172</v>
      </c>
      <c r="Q61" s="32">
        <f t="shared" si="41"/>
        <v>0.55000000000000027</v>
      </c>
      <c r="R61" s="65">
        <f t="shared" si="42"/>
        <v>2.8000000000000016</v>
      </c>
      <c r="S61" s="65">
        <f t="shared" si="43"/>
        <v>2746.8000000000015</v>
      </c>
      <c r="T61" s="66">
        <f t="shared" si="44"/>
        <v>7691.0400000000091</v>
      </c>
      <c r="U61" s="65">
        <f t="shared" si="45"/>
        <v>0.35714285714285693</v>
      </c>
      <c r="V61" s="65">
        <f t="shared" si="46"/>
        <v>127.5510204081631</v>
      </c>
      <c r="W61" s="65">
        <f t="shared" si="47"/>
        <v>357.14285714285688</v>
      </c>
      <c r="X61" s="67">
        <f t="shared" si="48"/>
        <v>8048.1828571428659</v>
      </c>
      <c r="Y61" s="1">
        <f t="shared" si="49"/>
        <v>0.55650107137656313</v>
      </c>
      <c r="AA61" s="65">
        <f t="shared" si="50"/>
        <v>2.8000000000000016</v>
      </c>
      <c r="AB61" s="65">
        <f t="shared" si="51"/>
        <v>2746.8000000000015</v>
      </c>
      <c r="AC61" s="65">
        <f t="shared" si="52"/>
        <v>7691.0400000000091</v>
      </c>
      <c r="AD61">
        <f t="shared" si="53"/>
        <v>0.71428571428571386</v>
      </c>
      <c r="AE61">
        <f t="shared" si="54"/>
        <v>510.20408163265239</v>
      </c>
      <c r="AF61">
        <f t="shared" si="55"/>
        <v>1428.5714285714275</v>
      </c>
      <c r="AG61" s="52">
        <f t="shared" si="56"/>
        <v>9119.6114285714357</v>
      </c>
    </row>
    <row r="62" spans="3:33" x14ac:dyDescent="0.25">
      <c r="C62">
        <f t="shared" si="29"/>
        <v>0.57000000000000028</v>
      </c>
      <c r="D62">
        <f t="shared" si="23"/>
        <v>5</v>
      </c>
      <c r="E62" s="9">
        <f t="shared" si="32"/>
        <v>2.8500000000000014</v>
      </c>
      <c r="F62" s="1">
        <f t="shared" si="33"/>
        <v>0.35087719298245595</v>
      </c>
      <c r="H62" s="22">
        <f t="shared" si="34"/>
        <v>0.57627496455429428</v>
      </c>
      <c r="I62">
        <f t="shared" si="35"/>
        <v>9.7738931777311411E-3</v>
      </c>
      <c r="K62" t="str">
        <f t="shared" si="36"/>
        <v xml:space="preserve"> </v>
      </c>
      <c r="L62" s="22">
        <f t="shared" si="37"/>
        <v>0.56000000000000028</v>
      </c>
      <c r="M62">
        <f t="shared" si="38"/>
        <v>0.35087719298245595</v>
      </c>
      <c r="N62">
        <f t="shared" si="39"/>
        <v>0.70175438596491191</v>
      </c>
      <c r="O62" s="1">
        <f t="shared" si="40"/>
        <v>0.59509985821717615</v>
      </c>
      <c r="Q62" s="32">
        <f t="shared" si="41"/>
        <v>0.56000000000000028</v>
      </c>
      <c r="R62" s="65">
        <f t="shared" si="42"/>
        <v>2.8500000000000014</v>
      </c>
      <c r="S62" s="65">
        <f t="shared" si="43"/>
        <v>2795.8500000000013</v>
      </c>
      <c r="T62" s="66">
        <f t="shared" si="44"/>
        <v>7968.1725000000079</v>
      </c>
      <c r="U62" s="65">
        <f t="shared" si="45"/>
        <v>0.35087719298245595</v>
      </c>
      <c r="V62" s="65">
        <f t="shared" si="46"/>
        <v>123.11480455524763</v>
      </c>
      <c r="W62" s="65">
        <f t="shared" si="47"/>
        <v>350.87719298245594</v>
      </c>
      <c r="X62" s="67">
        <f t="shared" si="48"/>
        <v>8319.049692982464</v>
      </c>
      <c r="Y62" s="1">
        <f t="shared" si="49"/>
        <v>0.56627496455429427</v>
      </c>
      <c r="AA62" s="65">
        <f t="shared" si="50"/>
        <v>2.8500000000000014</v>
      </c>
      <c r="AB62" s="65">
        <f t="shared" si="51"/>
        <v>2795.8500000000013</v>
      </c>
      <c r="AC62" s="65">
        <f t="shared" si="52"/>
        <v>7968.1725000000079</v>
      </c>
      <c r="AD62">
        <f t="shared" si="53"/>
        <v>0.70175438596491191</v>
      </c>
      <c r="AE62">
        <f t="shared" si="54"/>
        <v>492.45921822099052</v>
      </c>
      <c r="AF62">
        <f t="shared" si="55"/>
        <v>1403.5087719298238</v>
      </c>
      <c r="AG62" s="52">
        <f t="shared" si="56"/>
        <v>9371.6812719298323</v>
      </c>
    </row>
    <row r="63" spans="3:33" x14ac:dyDescent="0.25">
      <c r="C63">
        <f t="shared" si="29"/>
        <v>0.58000000000000029</v>
      </c>
      <c r="D63">
        <f t="shared" si="23"/>
        <v>5</v>
      </c>
      <c r="E63" s="9">
        <f t="shared" si="32"/>
        <v>2.9000000000000012</v>
      </c>
      <c r="F63" s="1">
        <f t="shared" si="33"/>
        <v>0.34482758620689641</v>
      </c>
      <c r="H63" s="22">
        <f t="shared" si="34"/>
        <v>0.58606045179456068</v>
      </c>
      <c r="I63">
        <f t="shared" si="35"/>
        <v>9.7854872402663995E-3</v>
      </c>
      <c r="K63" t="str">
        <f t="shared" si="36"/>
        <v xml:space="preserve"> </v>
      </c>
      <c r="L63" s="22">
        <f t="shared" si="37"/>
        <v>0.57000000000000028</v>
      </c>
      <c r="M63">
        <f t="shared" si="38"/>
        <v>0.34482758620689641</v>
      </c>
      <c r="N63">
        <f t="shared" si="39"/>
        <v>0.68965517241379282</v>
      </c>
      <c r="O63" s="1">
        <f t="shared" si="40"/>
        <v>0.60424180717824183</v>
      </c>
      <c r="Q63" s="32">
        <f t="shared" si="41"/>
        <v>0.57000000000000028</v>
      </c>
      <c r="R63" s="65">
        <f t="shared" si="42"/>
        <v>2.9000000000000012</v>
      </c>
      <c r="S63" s="65">
        <f t="shared" si="43"/>
        <v>2844.9000000000019</v>
      </c>
      <c r="T63" s="66">
        <f t="shared" si="44"/>
        <v>8250.2100000000082</v>
      </c>
      <c r="U63" s="65">
        <f t="shared" si="45"/>
        <v>0.34482758620689641</v>
      </c>
      <c r="V63" s="65">
        <f t="shared" si="46"/>
        <v>118.90606420927458</v>
      </c>
      <c r="W63" s="65">
        <f t="shared" si="47"/>
        <v>344.8275862068964</v>
      </c>
      <c r="X63" s="67">
        <f t="shared" si="48"/>
        <v>8595.037586206905</v>
      </c>
      <c r="Y63" s="1">
        <f t="shared" si="49"/>
        <v>0.57606045179456067</v>
      </c>
      <c r="AA63" s="65">
        <f t="shared" si="50"/>
        <v>2.9000000000000012</v>
      </c>
      <c r="AB63" s="65">
        <f t="shared" si="51"/>
        <v>2844.9000000000019</v>
      </c>
      <c r="AC63" s="65">
        <f t="shared" si="52"/>
        <v>8250.2100000000082</v>
      </c>
      <c r="AD63">
        <f t="shared" si="53"/>
        <v>0.68965517241379282</v>
      </c>
      <c r="AE63">
        <f t="shared" si="54"/>
        <v>475.6242568370983</v>
      </c>
      <c r="AF63">
        <f t="shared" si="55"/>
        <v>1379.3103448275856</v>
      </c>
      <c r="AG63" s="52">
        <f t="shared" si="56"/>
        <v>9629.5203448275934</v>
      </c>
    </row>
    <row r="64" spans="3:33" x14ac:dyDescent="0.25">
      <c r="C64">
        <f t="shared" si="29"/>
        <v>0.5900000000000003</v>
      </c>
      <c r="D64">
        <f t="shared" si="23"/>
        <v>5</v>
      </c>
      <c r="E64" s="9">
        <f t="shared" si="32"/>
        <v>2.9500000000000015</v>
      </c>
      <c r="F64" s="1">
        <f t="shared" si="33"/>
        <v>0.33898305084745745</v>
      </c>
      <c r="H64" s="22">
        <f t="shared" si="34"/>
        <v>0.59585675375952374</v>
      </c>
      <c r="I64">
        <f t="shared" si="35"/>
        <v>9.7963019649630612E-3</v>
      </c>
      <c r="K64" t="str">
        <f t="shared" si="36"/>
        <v xml:space="preserve"> </v>
      </c>
      <c r="L64" s="22">
        <f t="shared" si="37"/>
        <v>0.58000000000000029</v>
      </c>
      <c r="M64">
        <f t="shared" si="38"/>
        <v>0.33898305084745745</v>
      </c>
      <c r="N64">
        <f t="shared" si="39"/>
        <v>0.67796610169491489</v>
      </c>
      <c r="O64" s="1">
        <f t="shared" si="40"/>
        <v>0.61342701503809405</v>
      </c>
      <c r="Q64" s="32">
        <f t="shared" si="41"/>
        <v>0.58000000000000029</v>
      </c>
      <c r="R64" s="65">
        <f t="shared" si="42"/>
        <v>2.9500000000000015</v>
      </c>
      <c r="S64" s="65">
        <f t="shared" si="43"/>
        <v>2893.9500000000016</v>
      </c>
      <c r="T64" s="66">
        <f t="shared" si="44"/>
        <v>8537.1525000000092</v>
      </c>
      <c r="U64" s="65">
        <f t="shared" si="45"/>
        <v>0.33898305084745745</v>
      </c>
      <c r="V64" s="65">
        <f t="shared" si="46"/>
        <v>114.90950876184992</v>
      </c>
      <c r="W64" s="65">
        <f t="shared" si="47"/>
        <v>338.98305084745743</v>
      </c>
      <c r="X64" s="67">
        <f t="shared" si="48"/>
        <v>8876.1355508474662</v>
      </c>
      <c r="Y64" s="1">
        <f t="shared" si="49"/>
        <v>0.58585675375952373</v>
      </c>
      <c r="AA64" s="65">
        <f t="shared" si="50"/>
        <v>2.9500000000000015</v>
      </c>
      <c r="AB64" s="65">
        <f t="shared" si="51"/>
        <v>2893.9500000000016</v>
      </c>
      <c r="AC64" s="65">
        <f t="shared" si="52"/>
        <v>8537.1525000000092</v>
      </c>
      <c r="AD64">
        <f t="shared" si="53"/>
        <v>0.67796610169491489</v>
      </c>
      <c r="AE64">
        <f t="shared" si="54"/>
        <v>459.63803504739968</v>
      </c>
      <c r="AF64">
        <f t="shared" si="55"/>
        <v>1355.9322033898297</v>
      </c>
      <c r="AG64" s="52">
        <f t="shared" si="56"/>
        <v>9893.084703389839</v>
      </c>
    </row>
    <row r="65" spans="3:33" x14ac:dyDescent="0.25">
      <c r="C65">
        <f t="shared" si="29"/>
        <v>0.60000000000000031</v>
      </c>
      <c r="D65">
        <f t="shared" si="23"/>
        <v>5</v>
      </c>
      <c r="E65" s="9">
        <f t="shared" si="32"/>
        <v>3.0000000000000018</v>
      </c>
      <c r="F65" s="1">
        <f t="shared" si="33"/>
        <v>0.33333333333333315</v>
      </c>
      <c r="H65" s="22">
        <f t="shared" si="34"/>
        <v>0.60566315551025063</v>
      </c>
      <c r="I65">
        <f t="shared" si="35"/>
        <v>9.8064017507268897E-3</v>
      </c>
      <c r="K65" t="str">
        <f t="shared" si="36"/>
        <v xml:space="preserve"> </v>
      </c>
      <c r="L65" s="22">
        <f t="shared" si="37"/>
        <v>0.5900000000000003</v>
      </c>
      <c r="M65">
        <f t="shared" si="38"/>
        <v>0.33333333333333315</v>
      </c>
      <c r="N65">
        <f t="shared" si="39"/>
        <v>0.6666666666666663</v>
      </c>
      <c r="O65" s="1">
        <f t="shared" si="40"/>
        <v>0.62265262204100158</v>
      </c>
      <c r="Q65" s="32">
        <f t="shared" si="41"/>
        <v>0.5900000000000003</v>
      </c>
      <c r="R65" s="65">
        <f t="shared" si="42"/>
        <v>3.0000000000000018</v>
      </c>
      <c r="S65" s="65">
        <f t="shared" si="43"/>
        <v>2943.0000000000018</v>
      </c>
      <c r="T65" s="66">
        <f t="shared" si="44"/>
        <v>8829.0000000000109</v>
      </c>
      <c r="U65" s="65">
        <f t="shared" si="45"/>
        <v>0.33333333333333315</v>
      </c>
      <c r="V65" s="65">
        <f t="shared" si="46"/>
        <v>111.111111111111</v>
      </c>
      <c r="W65" s="65">
        <f t="shared" si="47"/>
        <v>333.3333333333332</v>
      </c>
      <c r="X65" s="67">
        <f t="shared" si="48"/>
        <v>9162.3333333333449</v>
      </c>
      <c r="Y65" s="1">
        <f t="shared" si="49"/>
        <v>0.59566315551025062</v>
      </c>
      <c r="AA65" s="65">
        <f t="shared" si="50"/>
        <v>3.0000000000000018</v>
      </c>
      <c r="AB65" s="65">
        <f t="shared" si="51"/>
        <v>2943.0000000000018</v>
      </c>
      <c r="AC65" s="65">
        <f t="shared" si="52"/>
        <v>8829.0000000000109</v>
      </c>
      <c r="AD65">
        <f t="shared" si="53"/>
        <v>0.6666666666666663</v>
      </c>
      <c r="AE65">
        <f t="shared" si="54"/>
        <v>444.444444444444</v>
      </c>
      <c r="AF65">
        <f t="shared" si="55"/>
        <v>1333.3333333333328</v>
      </c>
      <c r="AG65" s="52">
        <f t="shared" si="56"/>
        <v>10162.333333333343</v>
      </c>
    </row>
    <row r="66" spans="3:33" x14ac:dyDescent="0.25">
      <c r="C66">
        <f t="shared" si="29"/>
        <v>0.61000000000000032</v>
      </c>
      <c r="D66">
        <f t="shared" si="23"/>
        <v>5</v>
      </c>
      <c r="E66" s="9">
        <f t="shared" si="32"/>
        <v>3.0500000000000016</v>
      </c>
      <c r="F66" s="1">
        <f t="shared" si="33"/>
        <v>0.3278688524590162</v>
      </c>
      <c r="H66" s="22">
        <f t="shared" si="34"/>
        <v>0.61547900022491331</v>
      </c>
      <c r="I66">
        <f t="shared" si="35"/>
        <v>9.8158447146626804E-3</v>
      </c>
      <c r="K66" t="str">
        <f t="shared" si="36"/>
        <v xml:space="preserve"> </v>
      </c>
      <c r="L66" s="22">
        <f t="shared" si="37"/>
        <v>0.60000000000000031</v>
      </c>
      <c r="M66">
        <f t="shared" si="38"/>
        <v>0.3278688524590162</v>
      </c>
      <c r="N66">
        <f t="shared" si="39"/>
        <v>0.6557377049180324</v>
      </c>
      <c r="O66" s="1">
        <f t="shared" si="40"/>
        <v>0.63191600089965216</v>
      </c>
      <c r="Q66" s="32">
        <f t="shared" si="41"/>
        <v>0.60000000000000031</v>
      </c>
      <c r="R66" s="65">
        <f t="shared" si="42"/>
        <v>3.0500000000000016</v>
      </c>
      <c r="S66" s="65">
        <f t="shared" si="43"/>
        <v>2992.0500000000015</v>
      </c>
      <c r="T66" s="66">
        <f t="shared" si="44"/>
        <v>9125.7525000000096</v>
      </c>
      <c r="U66" s="65">
        <f t="shared" si="45"/>
        <v>0.3278688524590162</v>
      </c>
      <c r="V66" s="65">
        <f t="shared" si="46"/>
        <v>107.49798441279214</v>
      </c>
      <c r="W66" s="65">
        <f t="shared" si="47"/>
        <v>327.86885245901618</v>
      </c>
      <c r="X66" s="67">
        <f t="shared" si="48"/>
        <v>9453.6213524590257</v>
      </c>
      <c r="Y66" s="1">
        <f t="shared" si="49"/>
        <v>0.6054790002249133</v>
      </c>
      <c r="AA66" s="65">
        <f t="shared" si="50"/>
        <v>3.0500000000000016</v>
      </c>
      <c r="AB66" s="65">
        <f t="shared" si="51"/>
        <v>2992.0500000000015</v>
      </c>
      <c r="AC66" s="65">
        <f t="shared" si="52"/>
        <v>9125.7525000000096</v>
      </c>
      <c r="AD66">
        <f t="shared" si="53"/>
        <v>0.6557377049180324</v>
      </c>
      <c r="AE66">
        <f t="shared" si="54"/>
        <v>429.99193765116854</v>
      </c>
      <c r="AF66">
        <f t="shared" si="55"/>
        <v>1311.4754098360647</v>
      </c>
      <c r="AG66" s="52">
        <f t="shared" si="56"/>
        <v>10437.227909836074</v>
      </c>
    </row>
    <row r="67" spans="3:33" x14ac:dyDescent="0.25">
      <c r="C67">
        <f t="shared" si="29"/>
        <v>0.62000000000000033</v>
      </c>
      <c r="D67">
        <f t="shared" si="23"/>
        <v>5</v>
      </c>
      <c r="E67" s="9">
        <f t="shared" si="32"/>
        <v>3.1000000000000014</v>
      </c>
      <c r="F67" s="1">
        <f t="shared" si="33"/>
        <v>0.32258064516129015</v>
      </c>
      <c r="H67" s="22">
        <f t="shared" si="34"/>
        <v>0.6253036836204221</v>
      </c>
      <c r="I67">
        <f t="shared" si="35"/>
        <v>9.8246833955087931E-3</v>
      </c>
      <c r="K67" t="str">
        <f t="shared" si="36"/>
        <v xml:space="preserve"> </v>
      </c>
      <c r="L67" s="22">
        <f t="shared" si="37"/>
        <v>0.61000000000000032</v>
      </c>
      <c r="M67">
        <f t="shared" si="38"/>
        <v>0.32258064516129015</v>
      </c>
      <c r="N67">
        <f t="shared" si="39"/>
        <v>0.64516129032258029</v>
      </c>
      <c r="O67" s="1">
        <f t="shared" si="40"/>
        <v>0.6412147344816872</v>
      </c>
      <c r="Q67" s="32">
        <f t="shared" si="41"/>
        <v>0.61000000000000032</v>
      </c>
      <c r="R67" s="65">
        <f t="shared" si="42"/>
        <v>3.1000000000000014</v>
      </c>
      <c r="S67" s="65">
        <f t="shared" si="43"/>
        <v>3041.1000000000017</v>
      </c>
      <c r="T67" s="66">
        <f t="shared" si="44"/>
        <v>9427.4100000000089</v>
      </c>
      <c r="U67" s="65">
        <f t="shared" si="45"/>
        <v>0.32258064516129015</v>
      </c>
      <c r="V67" s="65">
        <f t="shared" si="46"/>
        <v>104.05827263267419</v>
      </c>
      <c r="W67" s="65">
        <f t="shared" si="47"/>
        <v>322.58064516129014</v>
      </c>
      <c r="X67" s="67">
        <f t="shared" si="48"/>
        <v>9749.9906451612987</v>
      </c>
      <c r="Y67" s="1">
        <f t="shared" si="49"/>
        <v>0.61530368362042209</v>
      </c>
      <c r="AA67" s="65">
        <f t="shared" si="50"/>
        <v>3.1000000000000014</v>
      </c>
      <c r="AB67" s="65">
        <f t="shared" si="51"/>
        <v>3041.1000000000017</v>
      </c>
      <c r="AC67" s="65">
        <f t="shared" si="52"/>
        <v>9427.4100000000089</v>
      </c>
      <c r="AD67">
        <f t="shared" si="53"/>
        <v>0.64516129032258029</v>
      </c>
      <c r="AE67">
        <f t="shared" si="54"/>
        <v>416.23309053069676</v>
      </c>
      <c r="AF67">
        <f t="shared" si="55"/>
        <v>1290.3225806451605</v>
      </c>
      <c r="AG67" s="52">
        <f t="shared" si="56"/>
        <v>10717.73258064517</v>
      </c>
    </row>
    <row r="68" spans="3:33" x14ac:dyDescent="0.25">
      <c r="C68">
        <f t="shared" si="29"/>
        <v>0.63000000000000034</v>
      </c>
      <c r="D68">
        <f t="shared" si="23"/>
        <v>5</v>
      </c>
      <c r="E68" s="9">
        <f t="shared" si="32"/>
        <v>3.1500000000000017</v>
      </c>
      <c r="F68" s="1">
        <f t="shared" si="33"/>
        <v>0.31746031746031728</v>
      </c>
      <c r="H68" s="22">
        <f t="shared" si="34"/>
        <v>0.63513664898888955</v>
      </c>
      <c r="I68">
        <f t="shared" si="35"/>
        <v>9.8329653684674501E-3</v>
      </c>
      <c r="K68" t="str">
        <f t="shared" si="36"/>
        <v xml:space="preserve"> </v>
      </c>
      <c r="L68" s="22">
        <f t="shared" si="37"/>
        <v>0.62000000000000033</v>
      </c>
      <c r="M68">
        <f t="shared" si="38"/>
        <v>0.31746031746031728</v>
      </c>
      <c r="N68">
        <f t="shared" si="39"/>
        <v>0.63492063492063455</v>
      </c>
      <c r="O68" s="1">
        <f t="shared" si="40"/>
        <v>0.65054659595555697</v>
      </c>
      <c r="Q68" s="32">
        <f t="shared" si="41"/>
        <v>0.62000000000000033</v>
      </c>
      <c r="R68" s="65">
        <f t="shared" si="42"/>
        <v>3.1500000000000017</v>
      </c>
      <c r="S68" s="65">
        <f t="shared" si="43"/>
        <v>3090.1500000000019</v>
      </c>
      <c r="T68" s="66">
        <f t="shared" si="44"/>
        <v>9733.9725000000108</v>
      </c>
      <c r="U68" s="65">
        <f t="shared" si="45"/>
        <v>0.31746031746031728</v>
      </c>
      <c r="V68" s="65">
        <f t="shared" si="46"/>
        <v>100.78105316200543</v>
      </c>
      <c r="W68" s="65">
        <f t="shared" si="47"/>
        <v>317.4603174603173</v>
      </c>
      <c r="X68" s="67">
        <f t="shared" si="48"/>
        <v>10051.432817460329</v>
      </c>
      <c r="Y68" s="1">
        <f t="shared" si="49"/>
        <v>0.62513664898888954</v>
      </c>
      <c r="AA68" s="65">
        <f t="shared" si="50"/>
        <v>3.1500000000000017</v>
      </c>
      <c r="AB68" s="65">
        <f t="shared" si="51"/>
        <v>3090.1500000000019</v>
      </c>
      <c r="AC68" s="65">
        <f t="shared" si="52"/>
        <v>9733.9725000000108</v>
      </c>
      <c r="AD68">
        <f t="shared" si="53"/>
        <v>0.63492063492063455</v>
      </c>
      <c r="AE68">
        <f t="shared" si="54"/>
        <v>403.12421264802174</v>
      </c>
      <c r="AF68">
        <f t="shared" si="55"/>
        <v>1269.8412698412692</v>
      </c>
      <c r="AG68" s="52">
        <f t="shared" si="56"/>
        <v>11003.813769841279</v>
      </c>
    </row>
    <row r="69" spans="3:33" x14ac:dyDescent="0.25">
      <c r="C69">
        <f t="shared" si="29"/>
        <v>0.64000000000000035</v>
      </c>
      <c r="D69">
        <f t="shared" si="23"/>
        <v>5</v>
      </c>
      <c r="E69" s="9">
        <f t="shared" si="32"/>
        <v>3.200000000000002</v>
      </c>
      <c r="F69" s="1">
        <f t="shared" si="33"/>
        <v>0.31249999999999983</v>
      </c>
      <c r="H69" s="22">
        <f t="shared" si="34"/>
        <v>0.64497738277268124</v>
      </c>
      <c r="I69">
        <f t="shared" si="35"/>
        <v>9.8407337837916886E-3</v>
      </c>
      <c r="K69" t="str">
        <f t="shared" si="36"/>
        <v xml:space="preserve"> </v>
      </c>
      <c r="L69" s="22">
        <f t="shared" si="37"/>
        <v>0.63000000000000034</v>
      </c>
      <c r="M69">
        <f t="shared" si="38"/>
        <v>0.31249999999999983</v>
      </c>
      <c r="N69">
        <f t="shared" si="39"/>
        <v>0.62499999999999967</v>
      </c>
      <c r="O69" s="1">
        <f t="shared" si="40"/>
        <v>0.65990953109072403</v>
      </c>
      <c r="Q69" s="32">
        <f t="shared" si="41"/>
        <v>0.63000000000000034</v>
      </c>
      <c r="R69" s="65">
        <f t="shared" si="42"/>
        <v>3.200000000000002</v>
      </c>
      <c r="S69" s="65">
        <f t="shared" si="43"/>
        <v>3139.2000000000021</v>
      </c>
      <c r="T69" s="66">
        <f t="shared" si="44"/>
        <v>10045.440000000013</v>
      </c>
      <c r="U69" s="65">
        <f t="shared" si="45"/>
        <v>0.31249999999999983</v>
      </c>
      <c r="V69" s="65">
        <f t="shared" si="46"/>
        <v>97.656249999999886</v>
      </c>
      <c r="W69" s="65">
        <f t="shared" si="47"/>
        <v>312.49999999999983</v>
      </c>
      <c r="X69" s="67">
        <f t="shared" si="48"/>
        <v>10357.940000000013</v>
      </c>
      <c r="Y69" s="1">
        <f t="shared" si="49"/>
        <v>0.63497738277268123</v>
      </c>
      <c r="AA69" s="65">
        <f t="shared" si="50"/>
        <v>3.200000000000002</v>
      </c>
      <c r="AB69" s="65">
        <f t="shared" si="51"/>
        <v>3139.2000000000021</v>
      </c>
      <c r="AC69" s="65">
        <f t="shared" si="52"/>
        <v>10045.440000000013</v>
      </c>
      <c r="AD69">
        <f t="shared" si="53"/>
        <v>0.62499999999999967</v>
      </c>
      <c r="AE69">
        <f t="shared" si="54"/>
        <v>390.62499999999955</v>
      </c>
      <c r="AF69">
        <f t="shared" si="55"/>
        <v>1249.9999999999993</v>
      </c>
      <c r="AG69" s="52">
        <f t="shared" si="56"/>
        <v>11295.440000000013</v>
      </c>
    </row>
    <row r="70" spans="3:33" x14ac:dyDescent="0.25">
      <c r="C70">
        <f t="shared" si="29"/>
        <v>0.65000000000000036</v>
      </c>
      <c r="D70">
        <f t="shared" si="23"/>
        <v>5</v>
      </c>
      <c r="E70" s="9">
        <f t="shared" si="32"/>
        <v>3.2500000000000018</v>
      </c>
      <c r="F70" s="1">
        <f t="shared" si="33"/>
        <v>0.30769230769230754</v>
      </c>
      <c r="H70" s="22">
        <f t="shared" si="34"/>
        <v>0.65482541061228461</v>
      </c>
      <c r="I70">
        <f t="shared" si="35"/>
        <v>9.8480278396033682E-3</v>
      </c>
      <c r="K70" t="str">
        <f t="shared" si="36"/>
        <v xml:space="preserve"> </v>
      </c>
      <c r="L70" s="22">
        <f t="shared" si="37"/>
        <v>0.64000000000000035</v>
      </c>
      <c r="M70">
        <f t="shared" si="38"/>
        <v>0.30769230769230754</v>
      </c>
      <c r="N70">
        <f t="shared" si="39"/>
        <v>0.61538461538461509</v>
      </c>
      <c r="O70" s="1">
        <f t="shared" si="40"/>
        <v>0.66930164244913748</v>
      </c>
      <c r="Q70" s="32">
        <f t="shared" si="41"/>
        <v>0.64000000000000035</v>
      </c>
      <c r="R70" s="65">
        <f t="shared" si="42"/>
        <v>3.2500000000000018</v>
      </c>
      <c r="S70" s="65">
        <f t="shared" si="43"/>
        <v>3188.2500000000018</v>
      </c>
      <c r="T70" s="66">
        <f t="shared" si="44"/>
        <v>10361.812500000011</v>
      </c>
      <c r="U70" s="65">
        <f t="shared" si="45"/>
        <v>0.30769230769230754</v>
      </c>
      <c r="V70" s="65">
        <f t="shared" si="46"/>
        <v>94.674556213017667</v>
      </c>
      <c r="W70" s="65">
        <f t="shared" si="47"/>
        <v>307.69230769230757</v>
      </c>
      <c r="X70" s="67">
        <f t="shared" si="48"/>
        <v>10669.504807692318</v>
      </c>
      <c r="Y70" s="1">
        <f t="shared" si="49"/>
        <v>0.6448254106122846</v>
      </c>
      <c r="AA70" s="65">
        <f t="shared" si="50"/>
        <v>3.2500000000000018</v>
      </c>
      <c r="AB70" s="65">
        <f t="shared" si="51"/>
        <v>3188.2500000000018</v>
      </c>
      <c r="AC70" s="65">
        <f t="shared" si="52"/>
        <v>10361.812500000011</v>
      </c>
      <c r="AD70">
        <f t="shared" si="53"/>
        <v>0.61538461538461509</v>
      </c>
      <c r="AE70">
        <f t="shared" si="54"/>
        <v>378.69822485207067</v>
      </c>
      <c r="AF70">
        <f t="shared" si="55"/>
        <v>1230.7692307692303</v>
      </c>
      <c r="AG70" s="52">
        <f t="shared" si="56"/>
        <v>11592.581730769241</v>
      </c>
    </row>
  </sheetData>
  <phoneticPr fontId="0" type="noConversion"/>
  <pageMargins left="0.75" right="0.75" top="1" bottom="1" header="0.5" footer="0.5"/>
  <pageSetup paperSize="9" orientation="portrait" horizontalDpi="36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P188"/>
  <sheetViews>
    <sheetView topLeftCell="E28" workbookViewId="0">
      <selection activeCell="M40" sqref="M40"/>
    </sheetView>
  </sheetViews>
  <sheetFormatPr defaultRowHeight="13.2" x14ac:dyDescent="0.25"/>
  <cols>
    <col min="1" max="1" width="12" customWidth="1"/>
    <col min="2" max="2" width="10" bestFit="1" customWidth="1"/>
    <col min="6" max="6" width="11.6640625" customWidth="1"/>
    <col min="9" max="9" width="9.44140625" bestFit="1" customWidth="1"/>
    <col min="11" max="11" width="13.109375" customWidth="1"/>
    <col min="13" max="13" width="12.109375" bestFit="1" customWidth="1"/>
  </cols>
  <sheetData>
    <row r="3" spans="1:16" x14ac:dyDescent="0.25">
      <c r="M3" s="35" t="s">
        <v>48</v>
      </c>
      <c r="N3" s="35" t="s">
        <v>19</v>
      </c>
      <c r="O3" s="14" t="s">
        <v>15</v>
      </c>
      <c r="P3" s="14" t="s">
        <v>48</v>
      </c>
    </row>
    <row r="4" spans="1:16" x14ac:dyDescent="0.25">
      <c r="M4" s="31">
        <v>2.5000000000000001E-2</v>
      </c>
      <c r="N4" s="31">
        <v>2</v>
      </c>
      <c r="O4" s="52">
        <f>(M4^2/(N4^2*9.81))^(1/3)</f>
        <v>2.5160369003666062E-2</v>
      </c>
      <c r="P4">
        <f>O4*SQRT(9.81*O4)*N4</f>
        <v>2.5000000000000019E-2</v>
      </c>
    </row>
    <row r="5" spans="1:16" x14ac:dyDescent="0.25">
      <c r="M5" s="31">
        <v>0.2</v>
      </c>
      <c r="N5" s="31">
        <v>3</v>
      </c>
      <c r="O5" s="52">
        <f>(M5^2/(N5^2*9.81))^(1/3)</f>
        <v>7.6803820657050464E-2</v>
      </c>
      <c r="P5">
        <f>O5*SQRT(9.81*O5)*N5</f>
        <v>0.20000000000000012</v>
      </c>
    </row>
    <row r="6" spans="1:16" x14ac:dyDescent="0.25">
      <c r="C6" s="56" t="s">
        <v>82</v>
      </c>
      <c r="M6" s="31">
        <v>1</v>
      </c>
      <c r="N6" s="31">
        <v>2</v>
      </c>
      <c r="O6" s="52">
        <f>(M6^2/(N6^2*9.81))^(1/3)</f>
        <v>0.29427746106680286</v>
      </c>
      <c r="P6">
        <f>O6*SQRT(9.81*O6)*N6</f>
        <v>1</v>
      </c>
    </row>
    <row r="7" spans="1:16" x14ac:dyDescent="0.25">
      <c r="M7" s="31">
        <v>1</v>
      </c>
      <c r="N7" s="31">
        <v>5</v>
      </c>
      <c r="O7" s="52">
        <f>(M7^2/(N7^2*9.81))^(1/3)</f>
        <v>0.15975838489731028</v>
      </c>
      <c r="P7">
        <f>O7*SQRT(9.81*O7)*N7</f>
        <v>1</v>
      </c>
    </row>
    <row r="8" spans="1:16" x14ac:dyDescent="0.25">
      <c r="H8" s="28"/>
      <c r="I8" s="28"/>
      <c r="J8" s="28"/>
    </row>
    <row r="9" spans="1:16" x14ac:dyDescent="0.25">
      <c r="A9" s="3" t="s">
        <v>2</v>
      </c>
      <c r="B9" s="3">
        <v>2</v>
      </c>
      <c r="C9" s="10" t="s">
        <v>6</v>
      </c>
      <c r="D9" s="12" t="s">
        <v>21</v>
      </c>
      <c r="E9" s="16" t="s">
        <v>40</v>
      </c>
      <c r="F9" s="14" t="s">
        <v>42</v>
      </c>
      <c r="H9" s="28"/>
      <c r="I9" s="30" t="s">
        <v>41</v>
      </c>
      <c r="J9" s="12" t="s">
        <v>21</v>
      </c>
      <c r="K9" s="48" t="s">
        <v>43</v>
      </c>
    </row>
    <row r="10" spans="1:16" x14ac:dyDescent="0.25">
      <c r="C10" s="32">
        <v>0.1</v>
      </c>
      <c r="D10" s="10">
        <f>$B$9*C10</f>
        <v>0.2</v>
      </c>
      <c r="E10" s="9">
        <f>D10/($B$9+2*C10)</f>
        <v>9.0909090909090912E-2</v>
      </c>
      <c r="F10" s="27">
        <f>(($B$11*8*9.81*E10*D10^2)/$B$15)^0.5</f>
        <v>0.30842709467112772</v>
      </c>
      <c r="H10" s="28"/>
      <c r="I10" s="29">
        <f>C10</f>
        <v>0.1</v>
      </c>
      <c r="J10" s="10">
        <f>D10</f>
        <v>0.2</v>
      </c>
      <c r="K10" s="49">
        <f>I10*$B$9*SQRT(9.81*I10)</f>
        <v>0.19809088823063015</v>
      </c>
    </row>
    <row r="11" spans="1:16" x14ac:dyDescent="0.25">
      <c r="A11" s="26" t="s">
        <v>39</v>
      </c>
      <c r="B11" s="3">
        <v>0.01</v>
      </c>
      <c r="C11" s="32">
        <f>C10+$B$18</f>
        <v>0.6</v>
      </c>
      <c r="D11" s="10">
        <f t="shared" ref="D11:D46" si="0">$B$9*C11</f>
        <v>1.2</v>
      </c>
      <c r="E11" s="9">
        <f t="shared" ref="E11:E46" si="1">D11/($B$9+2*C11)</f>
        <v>0.37499999999999994</v>
      </c>
      <c r="F11" s="27">
        <f t="shared" ref="F11:F46" si="2">(($B$11*8*9.81*E11*D11^2)/$B$15)^0.5</f>
        <v>3.7585103432077975</v>
      </c>
      <c r="H11" s="28"/>
      <c r="I11" s="29">
        <f t="shared" ref="I11:I46" si="3">C11</f>
        <v>0.6</v>
      </c>
      <c r="J11" s="10">
        <f t="shared" ref="J11:J46" si="4">D11</f>
        <v>1.2</v>
      </c>
      <c r="K11" s="49">
        <f t="shared" ref="K11:K46" si="5">I11*$B$9*SQRT(9.81*I11)</f>
        <v>2.9113295931584249</v>
      </c>
    </row>
    <row r="12" spans="1:16" x14ac:dyDescent="0.25">
      <c r="A12" s="3"/>
      <c r="B12" s="3"/>
      <c r="C12" s="32">
        <f t="shared" ref="C12:C57" si="6">C11+$B$18</f>
        <v>1.1000000000000001</v>
      </c>
      <c r="D12" s="10">
        <f t="shared" si="0"/>
        <v>2.2000000000000002</v>
      </c>
      <c r="E12" s="9">
        <f t="shared" si="1"/>
        <v>0.52380952380952384</v>
      </c>
      <c r="F12" s="27">
        <f t="shared" si="2"/>
        <v>8.1438214967807703</v>
      </c>
      <c r="H12" s="28"/>
      <c r="I12" s="29">
        <f t="shared" si="3"/>
        <v>1.1000000000000001</v>
      </c>
      <c r="J12" s="10">
        <f t="shared" si="4"/>
        <v>2.2000000000000002</v>
      </c>
      <c r="K12" s="49">
        <f t="shared" si="5"/>
        <v>7.2269246571415158</v>
      </c>
    </row>
    <row r="13" spans="1:16" x14ac:dyDescent="0.25">
      <c r="C13" s="32">
        <f t="shared" si="6"/>
        <v>1.6</v>
      </c>
      <c r="D13" s="10">
        <f t="shared" si="0"/>
        <v>3.2</v>
      </c>
      <c r="E13" s="9">
        <f t="shared" si="1"/>
        <v>0.61538461538461542</v>
      </c>
      <c r="F13" s="27">
        <f t="shared" si="2"/>
        <v>12.839324209390703</v>
      </c>
      <c r="H13" s="28"/>
      <c r="I13" s="29">
        <f t="shared" si="3"/>
        <v>1.6</v>
      </c>
      <c r="J13" s="10">
        <f t="shared" si="4"/>
        <v>3.2</v>
      </c>
      <c r="K13" s="49">
        <f t="shared" si="5"/>
        <v>12.677816846760329</v>
      </c>
    </row>
    <row r="14" spans="1:16" x14ac:dyDescent="0.25">
      <c r="A14" s="36" t="s">
        <v>7</v>
      </c>
      <c r="B14" s="37"/>
      <c r="C14" s="32">
        <f t="shared" si="6"/>
        <v>2.1</v>
      </c>
      <c r="D14" s="10">
        <f t="shared" si="0"/>
        <v>4.2</v>
      </c>
      <c r="E14" s="9">
        <f t="shared" si="1"/>
        <v>0.67741935483870974</v>
      </c>
      <c r="F14" s="27">
        <f t="shared" si="2"/>
        <v>17.680598442652403</v>
      </c>
      <c r="H14" s="28"/>
      <c r="I14" s="29">
        <f t="shared" si="3"/>
        <v>2.1</v>
      </c>
      <c r="J14" s="10">
        <f t="shared" si="4"/>
        <v>4.2</v>
      </c>
      <c r="K14" s="49">
        <f t="shared" si="5"/>
        <v>19.063096285755893</v>
      </c>
    </row>
    <row r="15" spans="1:16" x14ac:dyDescent="0.25">
      <c r="A15" s="3" t="s">
        <v>0</v>
      </c>
      <c r="B15" s="5">
        <v>0.03</v>
      </c>
      <c r="C15" s="32">
        <f t="shared" si="6"/>
        <v>2.6</v>
      </c>
      <c r="D15" s="10">
        <f t="shared" si="0"/>
        <v>5.2</v>
      </c>
      <c r="E15" s="9">
        <f t="shared" si="1"/>
        <v>0.72222222222222221</v>
      </c>
      <c r="F15" s="27">
        <f t="shared" si="2"/>
        <v>22.602560326948218</v>
      </c>
      <c r="H15" s="28"/>
      <c r="I15" s="29">
        <f t="shared" si="3"/>
        <v>2.6</v>
      </c>
      <c r="J15" s="10">
        <f t="shared" si="4"/>
        <v>5.2</v>
      </c>
      <c r="K15" s="49">
        <f t="shared" si="5"/>
        <v>26.261801918375671</v>
      </c>
    </row>
    <row r="16" spans="1:16" x14ac:dyDescent="0.25">
      <c r="C16" s="32">
        <f t="shared" si="6"/>
        <v>3.1</v>
      </c>
      <c r="D16" s="10">
        <f t="shared" si="0"/>
        <v>6.2</v>
      </c>
      <c r="E16" s="9">
        <f t="shared" si="1"/>
        <v>0.75609756097560987</v>
      </c>
      <c r="F16" s="27">
        <f t="shared" si="2"/>
        <v>27.573981373397785</v>
      </c>
      <c r="H16" s="28"/>
      <c r="I16" s="29">
        <f t="shared" si="3"/>
        <v>3.1</v>
      </c>
      <c r="J16" s="10">
        <f t="shared" si="4"/>
        <v>6.2</v>
      </c>
      <c r="K16" s="49">
        <f t="shared" si="5"/>
        <v>34.190625030847272</v>
      </c>
    </row>
    <row r="17" spans="1:11" x14ac:dyDescent="0.25">
      <c r="B17" s="1"/>
      <c r="C17" s="32">
        <f t="shared" si="6"/>
        <v>3.6</v>
      </c>
      <c r="D17" s="10">
        <f t="shared" si="0"/>
        <v>7.2</v>
      </c>
      <c r="E17" s="9">
        <f t="shared" si="1"/>
        <v>0.78260869565217395</v>
      </c>
      <c r="F17" s="27">
        <f t="shared" si="2"/>
        <v>32.577946127910579</v>
      </c>
      <c r="H17" s="28"/>
      <c r="I17" s="29">
        <f t="shared" si="3"/>
        <v>3.6</v>
      </c>
      <c r="J17" s="10">
        <f t="shared" si="4"/>
        <v>7.2</v>
      </c>
      <c r="K17" s="49">
        <f t="shared" si="5"/>
        <v>42.787631857816116</v>
      </c>
    </row>
    <row r="18" spans="1:11" x14ac:dyDescent="0.25">
      <c r="A18" s="4" t="s">
        <v>20</v>
      </c>
      <c r="B18" s="10">
        <v>0.5</v>
      </c>
      <c r="C18" s="32">
        <f t="shared" si="6"/>
        <v>4.0999999999999996</v>
      </c>
      <c r="D18" s="10">
        <f t="shared" si="0"/>
        <v>8.1999999999999993</v>
      </c>
      <c r="E18" s="9">
        <f t="shared" si="1"/>
        <v>0.80392156862745101</v>
      </c>
      <c r="F18" s="27">
        <f t="shared" si="2"/>
        <v>37.604477830986788</v>
      </c>
      <c r="H18" s="28"/>
      <c r="I18" s="29">
        <f t="shared" si="3"/>
        <v>4.0999999999999996</v>
      </c>
      <c r="J18" s="10">
        <f t="shared" si="4"/>
        <v>8.1999999999999993</v>
      </c>
      <c r="K18" s="49">
        <f t="shared" si="5"/>
        <v>52.004423273410112</v>
      </c>
    </row>
    <row r="19" spans="1:11" x14ac:dyDescent="0.25">
      <c r="A19" s="4" t="s">
        <v>38</v>
      </c>
      <c r="B19" s="1"/>
      <c r="C19" s="32">
        <f t="shared" si="6"/>
        <v>4.5999999999999996</v>
      </c>
      <c r="D19" s="10">
        <f t="shared" si="0"/>
        <v>9.1999999999999993</v>
      </c>
      <c r="E19" s="9">
        <f t="shared" si="1"/>
        <v>0.8214285714285714</v>
      </c>
      <c r="F19" s="27">
        <f t="shared" si="2"/>
        <v>42.647305726320923</v>
      </c>
      <c r="H19" s="28"/>
      <c r="I19" s="29">
        <f t="shared" si="3"/>
        <v>4.5999999999999996</v>
      </c>
      <c r="J19" s="10">
        <f t="shared" si="4"/>
        <v>9.1999999999999993</v>
      </c>
      <c r="K19" s="49">
        <f t="shared" si="5"/>
        <v>61.80181744900387</v>
      </c>
    </row>
    <row r="20" spans="1:11" x14ac:dyDescent="0.25">
      <c r="C20" s="32">
        <f t="shared" si="6"/>
        <v>5.0999999999999996</v>
      </c>
      <c r="D20" s="10">
        <f t="shared" si="0"/>
        <v>10.199999999999999</v>
      </c>
      <c r="E20" s="9">
        <f t="shared" si="1"/>
        <v>0.83606557377049184</v>
      </c>
      <c r="F20" s="27">
        <f t="shared" si="2"/>
        <v>47.702288222257685</v>
      </c>
      <c r="H20" s="28"/>
      <c r="I20" s="29">
        <f t="shared" si="3"/>
        <v>5.0999999999999996</v>
      </c>
      <c r="J20" s="10">
        <f t="shared" si="4"/>
        <v>10.199999999999999</v>
      </c>
      <c r="K20" s="49">
        <f t="shared" si="5"/>
        <v>72.147246932921831</v>
      </c>
    </row>
    <row r="21" spans="1:11" x14ac:dyDescent="0.25">
      <c r="C21" s="32">
        <f t="shared" si="6"/>
        <v>5.6</v>
      </c>
      <c r="D21" s="10">
        <f t="shared" si="0"/>
        <v>11.2</v>
      </c>
      <c r="E21" s="9">
        <f t="shared" si="1"/>
        <v>0.84848484848484851</v>
      </c>
      <c r="F21" s="27">
        <f t="shared" si="2"/>
        <v>52.766578954348127</v>
      </c>
      <c r="H21" s="28"/>
      <c r="I21" s="29">
        <f t="shared" si="3"/>
        <v>5.6</v>
      </c>
      <c r="J21" s="10">
        <f t="shared" si="4"/>
        <v>11.2</v>
      </c>
      <c r="K21" s="49">
        <f t="shared" si="5"/>
        <v>83.013082342483827</v>
      </c>
    </row>
    <row r="22" spans="1:11" x14ac:dyDescent="0.25">
      <c r="A22" s="3" t="s">
        <v>22</v>
      </c>
      <c r="C22" s="32">
        <f t="shared" si="6"/>
        <v>6.1</v>
      </c>
      <c r="D22" s="10">
        <f t="shared" si="0"/>
        <v>12.2</v>
      </c>
      <c r="E22" s="9">
        <f t="shared" si="1"/>
        <v>0.85915492957746475</v>
      </c>
      <c r="F22" s="27">
        <f t="shared" si="2"/>
        <v>57.838156711905896</v>
      </c>
      <c r="H22" s="28"/>
      <c r="I22" s="29">
        <f t="shared" si="3"/>
        <v>6.1</v>
      </c>
      <c r="J22" s="10">
        <f t="shared" si="4"/>
        <v>12.2</v>
      </c>
      <c r="K22" s="49">
        <f t="shared" si="5"/>
        <v>94.375497031803761</v>
      </c>
    </row>
    <row r="23" spans="1:11" x14ac:dyDescent="0.25">
      <c r="A23" s="3" t="s">
        <v>23</v>
      </c>
      <c r="B23" s="9"/>
      <c r="C23" s="32">
        <f t="shared" si="6"/>
        <v>6.6</v>
      </c>
      <c r="D23" s="10">
        <f t="shared" si="0"/>
        <v>13.2</v>
      </c>
      <c r="E23" s="9">
        <f t="shared" si="1"/>
        <v>0.86842105263157898</v>
      </c>
      <c r="F23" s="27">
        <f t="shared" si="2"/>
        <v>62.915546401087298</v>
      </c>
      <c r="H23" s="28"/>
      <c r="I23" s="29">
        <f t="shared" si="3"/>
        <v>6.6</v>
      </c>
      <c r="J23" s="10">
        <f t="shared" si="4"/>
        <v>13.2</v>
      </c>
      <c r="K23" s="49">
        <f t="shared" si="5"/>
        <v>106.21366691720985</v>
      </c>
    </row>
    <row r="24" spans="1:11" x14ac:dyDescent="0.25">
      <c r="A24" s="3" t="s">
        <v>24</v>
      </c>
      <c r="C24" s="32">
        <f t="shared" si="6"/>
        <v>7.1</v>
      </c>
      <c r="D24" s="10">
        <f t="shared" si="0"/>
        <v>14.2</v>
      </c>
      <c r="E24" s="9">
        <f t="shared" si="1"/>
        <v>0.87654320987654322</v>
      </c>
      <c r="F24" s="27">
        <f t="shared" si="2"/>
        <v>67.997646146623936</v>
      </c>
      <c r="H24" s="28"/>
      <c r="I24" s="29">
        <f t="shared" si="3"/>
        <v>7.1</v>
      </c>
      <c r="J24" s="10">
        <f t="shared" si="4"/>
        <v>14.2</v>
      </c>
      <c r="K24" s="49">
        <f t="shared" si="5"/>
        <v>118.50918799823074</v>
      </c>
    </row>
    <row r="25" spans="1:11" x14ac:dyDescent="0.25">
      <c r="C25" s="32">
        <f t="shared" si="6"/>
        <v>7.6</v>
      </c>
      <c r="D25" s="10">
        <f t="shared" si="0"/>
        <v>15.2</v>
      </c>
      <c r="E25" s="9">
        <f t="shared" si="1"/>
        <v>0.88372093023255816</v>
      </c>
      <c r="F25" s="27">
        <f t="shared" si="2"/>
        <v>73.083616208693002</v>
      </c>
      <c r="H25" s="28"/>
      <c r="I25" s="29">
        <f t="shared" si="3"/>
        <v>7.6</v>
      </c>
      <c r="J25" s="10">
        <f t="shared" si="4"/>
        <v>15.2</v>
      </c>
      <c r="K25" s="49">
        <f t="shared" si="5"/>
        <v>131.24564084189615</v>
      </c>
    </row>
    <row r="26" spans="1:11" x14ac:dyDescent="0.25">
      <c r="C26" s="32">
        <f t="shared" si="6"/>
        <v>8.1</v>
      </c>
      <c r="D26" s="10">
        <f t="shared" si="0"/>
        <v>16.2</v>
      </c>
      <c r="E26" s="9">
        <f t="shared" si="1"/>
        <v>0.89010989010989006</v>
      </c>
      <c r="F26" s="27">
        <f t="shared" si="2"/>
        <v>78.17280536670728</v>
      </c>
      <c r="H26" s="28"/>
      <c r="I26" s="29">
        <f t="shared" si="3"/>
        <v>8.1</v>
      </c>
      <c r="J26" s="10">
        <f t="shared" si="4"/>
        <v>16.2</v>
      </c>
      <c r="K26" s="49">
        <f t="shared" si="5"/>
        <v>144.40825752012935</v>
      </c>
    </row>
    <row r="27" spans="1:11" x14ac:dyDescent="0.25">
      <c r="C27" s="32">
        <f t="shared" si="6"/>
        <v>8.6</v>
      </c>
      <c r="D27" s="10">
        <f t="shared" si="0"/>
        <v>17.2</v>
      </c>
      <c r="E27" s="9">
        <f t="shared" si="1"/>
        <v>0.89583333333333337</v>
      </c>
      <c r="F27" s="27">
        <f t="shared" si="2"/>
        <v>83.26470080412227</v>
      </c>
      <c r="H27" s="28"/>
      <c r="I27" s="29">
        <f t="shared" si="3"/>
        <v>8.6</v>
      </c>
      <c r="J27" s="10">
        <f t="shared" si="4"/>
        <v>17.2</v>
      </c>
      <c r="K27" s="49">
        <f t="shared" si="5"/>
        <v>157.98366194008796</v>
      </c>
    </row>
    <row r="28" spans="1:11" x14ac:dyDescent="0.25">
      <c r="C28" s="32">
        <f t="shared" si="6"/>
        <v>9.1</v>
      </c>
      <c r="D28" s="10">
        <f t="shared" si="0"/>
        <v>18.2</v>
      </c>
      <c r="E28" s="9">
        <f t="shared" si="1"/>
        <v>0.90099009900990101</v>
      </c>
      <c r="F28" s="27">
        <f t="shared" si="2"/>
        <v>88.358893179806159</v>
      </c>
      <c r="H28" s="28"/>
      <c r="I28" s="29">
        <f t="shared" si="3"/>
        <v>9.1</v>
      </c>
      <c r="J28" s="10">
        <f t="shared" si="4"/>
        <v>18.2</v>
      </c>
      <c r="K28" s="49">
        <f t="shared" si="5"/>
        <v>171.95966399129767</v>
      </c>
    </row>
    <row r="29" spans="1:11" x14ac:dyDescent="0.25">
      <c r="C29" s="32">
        <f t="shared" si="6"/>
        <v>9.6</v>
      </c>
      <c r="D29" s="10">
        <f t="shared" si="0"/>
        <v>19.2</v>
      </c>
      <c r="E29" s="9">
        <f t="shared" si="1"/>
        <v>0.90566037735849059</v>
      </c>
      <c r="F29" s="27">
        <f t="shared" si="2"/>
        <v>93.455051772960843</v>
      </c>
      <c r="H29" s="28"/>
      <c r="I29" s="29">
        <f t="shared" si="3"/>
        <v>9.6</v>
      </c>
      <c r="J29" s="10">
        <f t="shared" si="4"/>
        <v>19.2</v>
      </c>
      <c r="K29" s="49">
        <f t="shared" si="5"/>
        <v>186.32509396213919</v>
      </c>
    </row>
    <row r="30" spans="1:11" x14ac:dyDescent="0.25">
      <c r="C30" s="32">
        <f t="shared" si="6"/>
        <v>10.1</v>
      </c>
      <c r="D30" s="10">
        <f t="shared" si="0"/>
        <v>20.2</v>
      </c>
      <c r="E30" s="9">
        <f t="shared" si="1"/>
        <v>0.90990990990990994</v>
      </c>
      <c r="F30" s="27">
        <f t="shared" si="2"/>
        <v>98.552906466389786</v>
      </c>
      <c r="H30" s="28"/>
      <c r="I30" s="29">
        <f t="shared" si="3"/>
        <v>10.1</v>
      </c>
      <c r="J30" s="10">
        <f t="shared" si="4"/>
        <v>20.2</v>
      </c>
      <c r="K30" s="49">
        <f t="shared" si="5"/>
        <v>201.06966762791447</v>
      </c>
    </row>
    <row r="31" spans="1:11" x14ac:dyDescent="0.25">
      <c r="C31" s="32">
        <f t="shared" si="6"/>
        <v>10.6</v>
      </c>
      <c r="D31" s="10">
        <f t="shared" si="0"/>
        <v>21.2</v>
      </c>
      <c r="E31" s="9">
        <f t="shared" si="1"/>
        <v>0.91379310344827591</v>
      </c>
      <c r="F31" s="27">
        <f t="shared" si="2"/>
        <v>103.65223446865403</v>
      </c>
      <c r="H31" s="28"/>
      <c r="I31" s="29">
        <f t="shared" si="3"/>
        <v>10.6</v>
      </c>
      <c r="J31" s="10">
        <f t="shared" si="4"/>
        <v>21.2</v>
      </c>
      <c r="K31" s="49">
        <f t="shared" si="5"/>
        <v>216.18387506934923</v>
      </c>
    </row>
    <row r="32" spans="1:11" x14ac:dyDescent="0.25">
      <c r="C32" s="32">
        <f t="shared" si="6"/>
        <v>11.1</v>
      </c>
      <c r="D32" s="10">
        <f t="shared" si="0"/>
        <v>22.2</v>
      </c>
      <c r="E32" s="9">
        <f t="shared" si="1"/>
        <v>0.91735537190082639</v>
      </c>
      <c r="F32" s="27">
        <f t="shared" si="2"/>
        <v>108.75285038156794</v>
      </c>
      <c r="H32" s="28"/>
      <c r="I32" s="29">
        <f t="shared" si="3"/>
        <v>11.1</v>
      </c>
      <c r="J32" s="10">
        <f t="shared" si="4"/>
        <v>22.2</v>
      </c>
      <c r="K32" s="49">
        <f t="shared" si="5"/>
        <v>231.65888810921976</v>
      </c>
    </row>
    <row r="33" spans="3:11" x14ac:dyDescent="0.25">
      <c r="C33" s="32">
        <f t="shared" si="6"/>
        <v>11.6</v>
      </c>
      <c r="D33" s="10">
        <f t="shared" si="0"/>
        <v>23.2</v>
      </c>
      <c r="E33" s="9">
        <f t="shared" si="1"/>
        <v>0.92063492063492058</v>
      </c>
      <c r="F33" s="27">
        <f t="shared" si="2"/>
        <v>113.85459866907107</v>
      </c>
      <c r="H33" s="28"/>
      <c r="I33" s="29">
        <f t="shared" si="3"/>
        <v>11.6</v>
      </c>
      <c r="J33" s="10">
        <f t="shared" si="4"/>
        <v>23.2</v>
      </c>
      <c r="K33" s="49">
        <f t="shared" si="5"/>
        <v>247.48648253995609</v>
      </c>
    </row>
    <row r="34" spans="3:11" x14ac:dyDescent="0.25">
      <c r="C34" s="32">
        <f t="shared" si="6"/>
        <v>12.1</v>
      </c>
      <c r="D34" s="10">
        <f t="shared" si="0"/>
        <v>24.2</v>
      </c>
      <c r="E34" s="9">
        <f t="shared" si="1"/>
        <v>0.92366412213740456</v>
      </c>
      <c r="F34" s="27">
        <f t="shared" si="2"/>
        <v>118.95734787620502</v>
      </c>
      <c r="H34" s="28"/>
      <c r="I34" s="29">
        <f t="shared" si="3"/>
        <v>12.1</v>
      </c>
      <c r="J34" s="10">
        <f t="shared" si="4"/>
        <v>24.2</v>
      </c>
      <c r="K34" s="49">
        <f t="shared" si="5"/>
        <v>263.6589722349687</v>
      </c>
    </row>
    <row r="35" spans="3:11" x14ac:dyDescent="0.25">
      <c r="C35" s="32">
        <f t="shared" si="6"/>
        <v>12.6</v>
      </c>
      <c r="D35" s="10">
        <f t="shared" si="0"/>
        <v>25.2</v>
      </c>
      <c r="E35" s="9">
        <f t="shared" si="1"/>
        <v>0.92647058823529416</v>
      </c>
      <c r="F35" s="27">
        <f t="shared" si="2"/>
        <v>124.06098614130448</v>
      </c>
      <c r="H35" s="28"/>
      <c r="I35" s="29">
        <f t="shared" si="3"/>
        <v>12.6</v>
      </c>
      <c r="J35" s="10">
        <f t="shared" si="4"/>
        <v>25.2</v>
      </c>
      <c r="K35" s="49">
        <f t="shared" si="5"/>
        <v>280.16915290588292</v>
      </c>
    </row>
    <row r="36" spans="3:11" x14ac:dyDescent="0.25">
      <c r="C36" s="32">
        <f t="shared" si="6"/>
        <v>13.1</v>
      </c>
      <c r="D36" s="10">
        <f t="shared" si="0"/>
        <v>26.2</v>
      </c>
      <c r="E36" s="9">
        <f t="shared" si="1"/>
        <v>0.92907801418439717</v>
      </c>
      <c r="F36" s="27">
        <f t="shared" si="2"/>
        <v>129.16541767595635</v>
      </c>
      <c r="H36" s="28"/>
      <c r="I36" s="29">
        <f t="shared" si="3"/>
        <v>13.1</v>
      </c>
      <c r="J36" s="10">
        <f t="shared" si="4"/>
        <v>26.2</v>
      </c>
      <c r="K36" s="49">
        <f t="shared" si="5"/>
        <v>297.01025376239113</v>
      </c>
    </row>
    <row r="37" spans="3:11" x14ac:dyDescent="0.25">
      <c r="C37" s="32">
        <f t="shared" si="6"/>
        <v>13.6</v>
      </c>
      <c r="D37" s="10">
        <f t="shared" si="0"/>
        <v>27.2</v>
      </c>
      <c r="E37" s="9">
        <f t="shared" si="1"/>
        <v>0.93150684931506844</v>
      </c>
      <c r="F37" s="27">
        <f t="shared" si="2"/>
        <v>134.27055997765231</v>
      </c>
      <c r="H37" s="28"/>
      <c r="I37" s="29">
        <f t="shared" si="3"/>
        <v>13.6</v>
      </c>
      <c r="J37" s="10">
        <f t="shared" si="4"/>
        <v>27.2</v>
      </c>
      <c r="K37" s="49">
        <f t="shared" si="5"/>
        <v>314.17589570175494</v>
      </c>
    </row>
    <row r="38" spans="3:11" x14ac:dyDescent="0.25">
      <c r="C38" s="32">
        <f t="shared" si="6"/>
        <v>14.1</v>
      </c>
      <c r="D38" s="10">
        <f t="shared" si="0"/>
        <v>28.2</v>
      </c>
      <c r="E38" s="9">
        <f t="shared" si="1"/>
        <v>0.93377483443708609</v>
      </c>
      <c r="F38" s="27">
        <f t="shared" si="2"/>
        <v>139.37634160314116</v>
      </c>
      <c r="H38" s="28"/>
      <c r="I38" s="29">
        <f t="shared" si="3"/>
        <v>14.1</v>
      </c>
      <c r="J38" s="10">
        <f t="shared" si="4"/>
        <v>28.2</v>
      </c>
      <c r="K38" s="49">
        <f t="shared" si="5"/>
        <v>331.66005493577308</v>
      </c>
    </row>
    <row r="39" spans="3:11" x14ac:dyDescent="0.25">
      <c r="C39" s="32">
        <f t="shared" si="6"/>
        <v>14.6</v>
      </c>
      <c r="D39" s="10">
        <f t="shared" si="0"/>
        <v>29.2</v>
      </c>
      <c r="E39" s="9">
        <f t="shared" si="1"/>
        <v>0.9358974358974359</v>
      </c>
      <c r="F39" s="27">
        <f t="shared" si="2"/>
        <v>144.48270037513942</v>
      </c>
      <c r="H39" s="28"/>
      <c r="I39" s="29">
        <f t="shared" si="3"/>
        <v>14.6</v>
      </c>
      <c r="J39" s="10">
        <f t="shared" si="4"/>
        <v>29.2</v>
      </c>
      <c r="K39" s="49">
        <f t="shared" si="5"/>
        <v>349.45703117836962</v>
      </c>
    </row>
    <row r="40" spans="3:11" x14ac:dyDescent="0.25">
      <c r="C40" s="32">
        <f t="shared" si="6"/>
        <v>15.1</v>
      </c>
      <c r="D40" s="10">
        <f t="shared" si="0"/>
        <v>30.2</v>
      </c>
      <c r="E40" s="9">
        <f t="shared" si="1"/>
        <v>0.93788819875776386</v>
      </c>
      <c r="F40" s="27">
        <f t="shared" si="2"/>
        <v>149.58958192707809</v>
      </c>
      <c r="H40" s="28"/>
      <c r="I40" s="29">
        <f t="shared" si="3"/>
        <v>15.1</v>
      </c>
      <c r="J40" s="10">
        <f t="shared" si="4"/>
        <v>30.2</v>
      </c>
      <c r="K40" s="49">
        <f t="shared" si="5"/>
        <v>367.56141968384003</v>
      </c>
    </row>
    <row r="41" spans="3:11" x14ac:dyDescent="0.25">
      <c r="C41" s="32">
        <f t="shared" si="6"/>
        <v>15.6</v>
      </c>
      <c r="D41" s="10">
        <f t="shared" si="0"/>
        <v>31.2</v>
      </c>
      <c r="E41" s="9">
        <f t="shared" si="1"/>
        <v>0.93975903614457823</v>
      </c>
      <c r="F41" s="27">
        <f t="shared" si="2"/>
        <v>154.69693851379918</v>
      </c>
      <c r="H41" s="28"/>
      <c r="I41" s="29">
        <f t="shared" si="3"/>
        <v>15.6</v>
      </c>
      <c r="J41" s="10">
        <f t="shared" si="4"/>
        <v>31.2</v>
      </c>
      <c r="K41" s="49">
        <f t="shared" si="5"/>
        <v>385.96808655638876</v>
      </c>
    </row>
    <row r="42" spans="3:11" x14ac:dyDescent="0.25">
      <c r="C42" s="32">
        <f t="shared" si="6"/>
        <v>16.100000000000001</v>
      </c>
      <c r="D42" s="10">
        <f t="shared" si="0"/>
        <v>32.200000000000003</v>
      </c>
      <c r="E42" s="9">
        <f t="shared" si="1"/>
        <v>0.94152046783625731</v>
      </c>
      <c r="F42" s="27">
        <f t="shared" si="2"/>
        <v>159.80472803316675</v>
      </c>
      <c r="H42" s="28"/>
      <c r="I42" s="29">
        <f t="shared" si="3"/>
        <v>16.100000000000001</v>
      </c>
      <c r="J42" s="10">
        <f t="shared" si="4"/>
        <v>32.200000000000003</v>
      </c>
      <c r="K42" s="49">
        <f t="shared" si="5"/>
        <v>404.67214685471009</v>
      </c>
    </row>
    <row r="43" spans="3:11" x14ac:dyDescent="0.25">
      <c r="C43" s="32">
        <f t="shared" si="6"/>
        <v>16.600000000000001</v>
      </c>
      <c r="D43" s="10">
        <f t="shared" si="0"/>
        <v>33.200000000000003</v>
      </c>
      <c r="E43" s="9">
        <f t="shared" si="1"/>
        <v>0.94318181818181823</v>
      </c>
      <c r="F43" s="27">
        <f t="shared" si="2"/>
        <v>164.91291321620196</v>
      </c>
      <c r="H43" s="28"/>
      <c r="I43" s="29">
        <f t="shared" si="3"/>
        <v>16.600000000000001</v>
      </c>
      <c r="J43" s="10">
        <f t="shared" si="4"/>
        <v>33.200000000000003</v>
      </c>
      <c r="K43" s="49">
        <f t="shared" si="5"/>
        <v>423.66894509746646</v>
      </c>
    </row>
    <row r="44" spans="3:11" x14ac:dyDescent="0.25">
      <c r="C44" s="32">
        <f t="shared" si="6"/>
        <v>17.100000000000001</v>
      </c>
      <c r="D44" s="10">
        <f t="shared" si="0"/>
        <v>34.200000000000003</v>
      </c>
      <c r="E44" s="9">
        <f t="shared" si="1"/>
        <v>0.94475138121546964</v>
      </c>
      <c r="F44" s="27">
        <f t="shared" si="2"/>
        <v>170.02146095281734</v>
      </c>
      <c r="H44" s="28"/>
      <c r="I44" s="29">
        <f t="shared" si="3"/>
        <v>17.100000000000001</v>
      </c>
      <c r="J44" s="10">
        <f t="shared" si="4"/>
        <v>34.200000000000003</v>
      </c>
      <c r="K44" s="49">
        <f t="shared" si="5"/>
        <v>442.95403784139961</v>
      </c>
    </row>
    <row r="45" spans="3:11" x14ac:dyDescent="0.25">
      <c r="C45" s="32">
        <f t="shared" si="6"/>
        <v>17.600000000000001</v>
      </c>
      <c r="D45" s="10">
        <f t="shared" si="0"/>
        <v>35.200000000000003</v>
      </c>
      <c r="E45" s="9">
        <f t="shared" si="1"/>
        <v>0.94623655913978499</v>
      </c>
      <c r="F45" s="27">
        <f t="shared" si="2"/>
        <v>175.13034172737858</v>
      </c>
      <c r="H45" s="28"/>
      <c r="I45" s="29">
        <f t="shared" si="3"/>
        <v>17.600000000000001</v>
      </c>
      <c r="J45" s="10">
        <f t="shared" si="4"/>
        <v>35.200000000000003</v>
      </c>
      <c r="K45" s="49">
        <f t="shared" si="5"/>
        <v>462.52317805705701</v>
      </c>
    </row>
    <row r="46" spans="3:11" x14ac:dyDescent="0.25">
      <c r="C46" s="32">
        <f t="shared" si="6"/>
        <v>18.100000000000001</v>
      </c>
      <c r="D46" s="10">
        <f t="shared" si="0"/>
        <v>36.200000000000003</v>
      </c>
      <c r="E46" s="9">
        <f t="shared" si="1"/>
        <v>0.94764397905759168</v>
      </c>
      <c r="F46" s="27">
        <f t="shared" si="2"/>
        <v>180.23952914377188</v>
      </c>
      <c r="H46" s="28"/>
      <c r="I46" s="29">
        <f t="shared" si="3"/>
        <v>18.100000000000001</v>
      </c>
      <c r="J46" s="10">
        <f t="shared" si="4"/>
        <v>36.200000000000003</v>
      </c>
      <c r="K46" s="49">
        <f t="shared" si="5"/>
        <v>482.37230107044923</v>
      </c>
    </row>
    <row r="47" spans="3:11" x14ac:dyDescent="0.25">
      <c r="C47" s="32">
        <f t="shared" si="6"/>
        <v>18.600000000000001</v>
      </c>
      <c r="D47" s="10">
        <f t="shared" ref="D47:D54" si="7">$B$9*C47</f>
        <v>37.200000000000003</v>
      </c>
      <c r="E47" s="9">
        <f t="shared" ref="E47:E54" si="8">D47/($B$9+2*C47)</f>
        <v>0.94897959183673475</v>
      </c>
      <c r="F47" s="27">
        <f t="shared" ref="F47:F54" si="9">(($B$11*8*9.81*E47*D47^2)/$B$15)^0.5</f>
        <v>185.34899952384367</v>
      </c>
      <c r="H47" s="28"/>
      <c r="I47" s="29">
        <f t="shared" ref="I47:I54" si="10">C47</f>
        <v>18.600000000000001</v>
      </c>
      <c r="J47" s="10">
        <f t="shared" ref="J47:J54" si="11">D47</f>
        <v>37.200000000000003</v>
      </c>
      <c r="K47" s="49">
        <f t="shared" ref="K47:K54" si="12">I47*$B$9*SQRT(9.81*I47)</f>
        <v>502.49751187443712</v>
      </c>
    </row>
    <row r="48" spans="3:11" x14ac:dyDescent="0.25">
      <c r="C48" s="32">
        <f t="shared" si="6"/>
        <v>19.100000000000001</v>
      </c>
      <c r="D48" s="10">
        <f t="shared" si="7"/>
        <v>38.200000000000003</v>
      </c>
      <c r="E48" s="9">
        <f t="shared" si="8"/>
        <v>0.95024875621890548</v>
      </c>
      <c r="F48" s="27">
        <f t="shared" si="9"/>
        <v>190.45873156631794</v>
      </c>
      <c r="H48" s="28"/>
      <c r="I48" s="29">
        <f t="shared" si="10"/>
        <v>19.100000000000001</v>
      </c>
      <c r="J48" s="10">
        <f t="shared" si="11"/>
        <v>38.200000000000003</v>
      </c>
      <c r="K48" s="49">
        <f t="shared" si="12"/>
        <v>522.89507364288681</v>
      </c>
    </row>
    <row r="49" spans="3:11" x14ac:dyDescent="0.25">
      <c r="C49" s="32">
        <f t="shared" si="6"/>
        <v>19.600000000000001</v>
      </c>
      <c r="D49" s="10">
        <f t="shared" si="7"/>
        <v>39.200000000000003</v>
      </c>
      <c r="E49" s="9">
        <f t="shared" si="8"/>
        <v>0.95145631067961167</v>
      </c>
      <c r="F49" s="27">
        <f t="shared" si="9"/>
        <v>195.56870605582458</v>
      </c>
      <c r="H49" s="28"/>
      <c r="I49" s="29">
        <f t="shared" si="10"/>
        <v>19.600000000000001</v>
      </c>
      <c r="J49" s="10">
        <f t="shared" si="11"/>
        <v>39.200000000000003</v>
      </c>
      <c r="K49" s="49">
        <f t="shared" si="12"/>
        <v>543.56139730484915</v>
      </c>
    </row>
    <row r="50" spans="3:11" x14ac:dyDescent="0.25">
      <c r="C50" s="32">
        <f t="shared" si="6"/>
        <v>20.100000000000001</v>
      </c>
      <c r="D50" s="10">
        <f t="shared" si="7"/>
        <v>40.200000000000003</v>
      </c>
      <c r="E50" s="9">
        <f t="shared" si="8"/>
        <v>0.95260663507109</v>
      </c>
      <c r="F50" s="27">
        <f t="shared" si="9"/>
        <v>200.67890561365397</v>
      </c>
      <c r="H50" s="28"/>
      <c r="I50" s="29">
        <f t="shared" si="10"/>
        <v>20.100000000000001</v>
      </c>
      <c r="J50" s="10">
        <f t="shared" si="11"/>
        <v>40.200000000000003</v>
      </c>
      <c r="K50" s="49">
        <f t="shared" si="12"/>
        <v>564.49303205619822</v>
      </c>
    </row>
    <row r="51" spans="3:11" x14ac:dyDescent="0.25">
      <c r="C51" s="32">
        <f t="shared" si="6"/>
        <v>20.6</v>
      </c>
      <c r="D51" s="10">
        <f t="shared" si="7"/>
        <v>41.2</v>
      </c>
      <c r="E51" s="9">
        <f t="shared" si="8"/>
        <v>0.95370370370370372</v>
      </c>
      <c r="F51" s="27">
        <f t="shared" si="9"/>
        <v>205.7893144834191</v>
      </c>
      <c r="H51" s="28"/>
      <c r="I51" s="29">
        <f t="shared" si="10"/>
        <v>20.6</v>
      </c>
      <c r="J51" s="10">
        <f t="shared" si="11"/>
        <v>41.2</v>
      </c>
      <c r="K51" s="49">
        <f t="shared" si="12"/>
        <v>585.68665670305313</v>
      </c>
    </row>
    <row r="52" spans="3:11" x14ac:dyDescent="0.25">
      <c r="C52" s="32">
        <f t="shared" si="6"/>
        <v>21.1</v>
      </c>
      <c r="D52" s="10">
        <f t="shared" si="7"/>
        <v>42.2</v>
      </c>
      <c r="E52" s="9">
        <f t="shared" si="8"/>
        <v>0.95475113122171951</v>
      </c>
      <c r="F52" s="27">
        <f t="shared" si="9"/>
        <v>210.89991834605118</v>
      </c>
      <c r="H52" s="28"/>
      <c r="I52" s="29">
        <f t="shared" si="10"/>
        <v>21.1</v>
      </c>
      <c r="J52" s="10">
        <f t="shared" si="11"/>
        <v>42.2</v>
      </c>
      <c r="K52" s="49">
        <f t="shared" si="12"/>
        <v>607.13907174551048</v>
      </c>
    </row>
    <row r="53" spans="3:11" x14ac:dyDescent="0.25">
      <c r="C53" s="32">
        <f t="shared" si="6"/>
        <v>21.6</v>
      </c>
      <c r="D53" s="10">
        <f t="shared" si="7"/>
        <v>43.2</v>
      </c>
      <c r="E53" s="9">
        <f t="shared" si="8"/>
        <v>0.95575221238938057</v>
      </c>
      <c r="F53" s="27">
        <f t="shared" si="9"/>
        <v>216.01070415954953</v>
      </c>
      <c r="H53" s="28"/>
      <c r="I53" s="29">
        <f t="shared" si="10"/>
        <v>21.6</v>
      </c>
      <c r="J53" s="10">
        <f t="shared" si="11"/>
        <v>43.2</v>
      </c>
      <c r="K53" s="49">
        <f t="shared" si="12"/>
        <v>628.84719212221989</v>
      </c>
    </row>
    <row r="54" spans="3:11" x14ac:dyDescent="0.25">
      <c r="C54" s="32">
        <f t="shared" si="6"/>
        <v>22.1</v>
      </c>
      <c r="D54" s="10">
        <f t="shared" si="7"/>
        <v>44.2</v>
      </c>
      <c r="E54" s="9">
        <f t="shared" si="8"/>
        <v>0.95670995670995673</v>
      </c>
      <c r="F54" s="27">
        <f t="shared" si="9"/>
        <v>221.1216600197053</v>
      </c>
      <c r="H54" s="28"/>
      <c r="I54" s="29">
        <f t="shared" si="10"/>
        <v>22.1</v>
      </c>
      <c r="J54" s="10">
        <f t="shared" si="11"/>
        <v>44.2</v>
      </c>
      <c r="K54" s="49">
        <f t="shared" si="12"/>
        <v>650.80804054651946</v>
      </c>
    </row>
    <row r="55" spans="3:11" x14ac:dyDescent="0.25">
      <c r="C55" s="32">
        <f t="shared" si="6"/>
        <v>22.6</v>
      </c>
      <c r="D55" s="10">
        <f>$B$9*C55</f>
        <v>45.2</v>
      </c>
      <c r="E55" s="9">
        <f>D55/($B$9+2*C55)</f>
        <v>0.9576271186440678</v>
      </c>
      <c r="F55" s="27">
        <f>(($B$11*8*9.81*E55*D55^2)/$B$15)^0.5</f>
        <v>226.23277503866439</v>
      </c>
      <c r="H55" s="28"/>
      <c r="I55" s="29">
        <f t="shared" ref="I55:J57" si="13">C55</f>
        <v>22.6</v>
      </c>
      <c r="J55" s="10">
        <f t="shared" si="13"/>
        <v>45.2</v>
      </c>
      <c r="K55" s="49">
        <f>I55*$B$9*SQRT(9.81*I55)</f>
        <v>673.01874137352229</v>
      </c>
    </row>
    <row r="56" spans="3:11" x14ac:dyDescent="0.25">
      <c r="C56" s="32">
        <f t="shared" si="6"/>
        <v>23.1</v>
      </c>
      <c r="D56" s="10">
        <f>$B$9*C56</f>
        <v>46.2</v>
      </c>
      <c r="E56" s="9">
        <f>D56/($B$9+2*C56)</f>
        <v>0.95850622406639008</v>
      </c>
      <c r="F56" s="27">
        <f>(($B$11*8*9.81*E56*D56^2)/$B$15)^0.5</f>
        <v>231.34403923871977</v>
      </c>
      <c r="H56" s="28"/>
      <c r="I56" s="29">
        <f t="shared" si="13"/>
        <v>23.1</v>
      </c>
      <c r="J56" s="10">
        <f t="shared" si="13"/>
        <v>46.2</v>
      </c>
      <c r="K56" s="49">
        <f>I56*$B$9*SQRT(9.81*I56)</f>
        <v>695.47651494496927</v>
      </c>
    </row>
    <row r="57" spans="3:11" x14ac:dyDescent="0.25">
      <c r="C57" s="32">
        <f t="shared" si="6"/>
        <v>23.6</v>
      </c>
      <c r="D57" s="10">
        <f>$B$9*C57</f>
        <v>47.2</v>
      </c>
      <c r="E57" s="9">
        <f>D57/($B$9+2*C57)</f>
        <v>0.95934959349593496</v>
      </c>
      <c r="F57" s="27">
        <f>(($B$11*8*9.81*E57*D57^2)/$B$15)^0.5</f>
        <v>236.4554434591503</v>
      </c>
      <c r="H57" s="28"/>
      <c r="I57" s="29">
        <f t="shared" si="13"/>
        <v>23.6</v>
      </c>
      <c r="J57" s="10">
        <f t="shared" si="13"/>
        <v>47.2</v>
      </c>
      <c r="K57" s="49">
        <f>I57*$B$9*SQRT(9.81*I57)</f>
        <v>718.17867236503207</v>
      </c>
    </row>
    <row r="58" spans="3:11" x14ac:dyDescent="0.25">
      <c r="C58" s="10"/>
      <c r="D58" s="10"/>
      <c r="E58" s="9"/>
      <c r="F58" s="27"/>
      <c r="H58" s="28"/>
      <c r="I58" s="29"/>
      <c r="J58" s="10"/>
      <c r="K58" s="49"/>
    </row>
    <row r="59" spans="3:11" x14ac:dyDescent="0.25">
      <c r="C59" s="10"/>
      <c r="D59" s="10"/>
      <c r="E59" s="9"/>
      <c r="F59" s="27"/>
      <c r="H59" s="28"/>
      <c r="I59" s="29"/>
      <c r="J59" s="10"/>
      <c r="K59" s="49"/>
    </row>
    <row r="60" spans="3:11" x14ac:dyDescent="0.25">
      <c r="C60" s="10"/>
      <c r="D60" s="10"/>
      <c r="E60" s="9"/>
      <c r="F60" s="27"/>
      <c r="H60" s="28"/>
      <c r="I60" s="29"/>
      <c r="J60" s="10"/>
      <c r="K60" s="49"/>
    </row>
    <row r="61" spans="3:11" x14ac:dyDescent="0.25">
      <c r="C61" s="10"/>
      <c r="D61" s="10"/>
      <c r="E61" s="9"/>
      <c r="F61" s="27"/>
      <c r="H61" s="28"/>
      <c r="I61" s="29"/>
      <c r="J61" s="10"/>
      <c r="K61" s="49"/>
    </row>
    <row r="62" spans="3:11" x14ac:dyDescent="0.25">
      <c r="C62" s="10"/>
      <c r="D62" s="10"/>
      <c r="E62" s="9"/>
      <c r="F62" s="27"/>
      <c r="H62" s="28"/>
      <c r="I62" s="29"/>
      <c r="J62" s="10"/>
      <c r="K62" s="49"/>
    </row>
    <row r="63" spans="3:11" x14ac:dyDescent="0.25">
      <c r="C63" s="10"/>
      <c r="D63" s="10"/>
      <c r="E63" s="9"/>
      <c r="F63" s="27"/>
      <c r="H63" s="28"/>
      <c r="I63" s="29"/>
      <c r="J63" s="10"/>
      <c r="K63" s="49"/>
    </row>
    <row r="64" spans="3:11" x14ac:dyDescent="0.25">
      <c r="C64" s="10"/>
      <c r="D64" s="10"/>
      <c r="E64" s="9"/>
      <c r="F64" s="27"/>
      <c r="H64" s="28"/>
      <c r="I64" s="29"/>
      <c r="J64" s="10"/>
      <c r="K64" s="49"/>
    </row>
    <row r="65" spans="3:11" x14ac:dyDescent="0.25">
      <c r="C65" s="10"/>
      <c r="D65" s="10"/>
      <c r="E65" s="9"/>
      <c r="F65" s="27"/>
      <c r="H65" s="28"/>
      <c r="I65" s="29"/>
      <c r="J65" s="10"/>
      <c r="K65" s="49"/>
    </row>
    <row r="66" spans="3:11" x14ac:dyDescent="0.25">
      <c r="C66" s="10"/>
      <c r="D66" s="10"/>
      <c r="E66" s="9"/>
      <c r="F66" s="27"/>
      <c r="H66" s="28"/>
      <c r="I66" s="29"/>
      <c r="J66" s="10"/>
      <c r="K66" s="49"/>
    </row>
    <row r="67" spans="3:11" x14ac:dyDescent="0.25">
      <c r="C67" s="10"/>
      <c r="D67" s="10"/>
      <c r="E67" s="9"/>
      <c r="F67" s="27"/>
      <c r="H67" s="28"/>
      <c r="I67" s="29"/>
      <c r="J67" s="10"/>
      <c r="K67" s="49"/>
    </row>
    <row r="68" spans="3:11" x14ac:dyDescent="0.25">
      <c r="C68" s="10"/>
      <c r="D68" s="10"/>
      <c r="E68" s="9"/>
      <c r="F68" s="27"/>
      <c r="H68" s="28"/>
      <c r="I68" s="29"/>
      <c r="J68" s="10"/>
      <c r="K68" s="49"/>
    </row>
    <row r="69" spans="3:11" x14ac:dyDescent="0.25">
      <c r="C69" s="10"/>
      <c r="D69" s="10"/>
      <c r="E69" s="9"/>
      <c r="F69" s="27"/>
      <c r="H69" s="28"/>
      <c r="I69" s="29"/>
      <c r="J69" s="10"/>
      <c r="K69" s="49"/>
    </row>
    <row r="70" spans="3:11" x14ac:dyDescent="0.25">
      <c r="C70" s="10"/>
      <c r="D70" s="10"/>
      <c r="E70" s="9"/>
      <c r="F70" s="27"/>
      <c r="H70" s="28"/>
      <c r="I70" s="29"/>
      <c r="J70" s="10"/>
      <c r="K70" s="49"/>
    </row>
    <row r="71" spans="3:11" x14ac:dyDescent="0.25">
      <c r="C71" s="10"/>
      <c r="D71" s="10"/>
      <c r="E71" s="9"/>
      <c r="F71" s="27"/>
      <c r="H71" s="28"/>
      <c r="I71" s="29"/>
      <c r="J71" s="10"/>
      <c r="K71" s="49"/>
    </row>
    <row r="72" spans="3:11" x14ac:dyDescent="0.25">
      <c r="C72" s="10"/>
      <c r="D72" s="10"/>
      <c r="E72" s="9"/>
      <c r="F72" s="27"/>
      <c r="H72" s="28"/>
      <c r="I72" s="29"/>
      <c r="J72" s="10"/>
      <c r="K72" s="49"/>
    </row>
    <row r="73" spans="3:11" x14ac:dyDescent="0.25">
      <c r="C73" s="10"/>
      <c r="D73" s="10"/>
      <c r="E73" s="9"/>
      <c r="F73" s="27"/>
      <c r="H73" s="28"/>
      <c r="I73" s="29"/>
      <c r="J73" s="10"/>
      <c r="K73" s="49"/>
    </row>
    <row r="74" spans="3:11" x14ac:dyDescent="0.25">
      <c r="C74" s="10"/>
      <c r="D74" s="10"/>
      <c r="E74" s="9"/>
      <c r="F74" s="27"/>
      <c r="H74" s="28"/>
      <c r="I74" s="29"/>
      <c r="J74" s="10"/>
      <c r="K74" s="49"/>
    </row>
    <row r="75" spans="3:11" x14ac:dyDescent="0.25">
      <c r="C75" s="10"/>
      <c r="D75" s="10"/>
      <c r="E75" s="9"/>
      <c r="F75" s="27"/>
      <c r="H75" s="28"/>
      <c r="I75" s="29"/>
      <c r="J75" s="10"/>
      <c r="K75" s="49"/>
    </row>
    <row r="76" spans="3:11" x14ac:dyDescent="0.25">
      <c r="C76" s="10"/>
      <c r="D76" s="10"/>
      <c r="E76" s="9"/>
      <c r="F76" s="27"/>
      <c r="H76" s="28"/>
      <c r="I76" s="29"/>
      <c r="J76" s="10"/>
      <c r="K76" s="49"/>
    </row>
    <row r="77" spans="3:11" x14ac:dyDescent="0.25">
      <c r="C77" s="10"/>
      <c r="D77" s="10"/>
      <c r="E77" s="9"/>
      <c r="F77" s="27"/>
      <c r="H77" s="28"/>
      <c r="I77" s="29"/>
      <c r="J77" s="10"/>
      <c r="K77" s="49"/>
    </row>
    <row r="78" spans="3:11" x14ac:dyDescent="0.25">
      <c r="C78" s="10"/>
      <c r="D78" s="10"/>
      <c r="E78" s="9"/>
      <c r="F78" s="27"/>
      <c r="H78" s="28"/>
      <c r="I78" s="29"/>
      <c r="J78" s="10"/>
      <c r="K78" s="49"/>
    </row>
    <row r="79" spans="3:11" x14ac:dyDescent="0.25">
      <c r="C79" s="10"/>
      <c r="D79" s="10"/>
      <c r="E79" s="9"/>
      <c r="F79" s="27"/>
      <c r="H79" s="28"/>
      <c r="I79" s="29"/>
      <c r="J79" s="10"/>
      <c r="K79" s="49"/>
    </row>
    <row r="80" spans="3:11" x14ac:dyDescent="0.25">
      <c r="C80" s="10"/>
      <c r="D80" s="10"/>
      <c r="E80" s="9"/>
      <c r="F80" s="27"/>
      <c r="H80" s="28"/>
      <c r="I80" s="29"/>
      <c r="J80" s="10"/>
      <c r="K80" s="49"/>
    </row>
    <row r="81" spans="1:13" x14ac:dyDescent="0.25">
      <c r="C81" s="10"/>
      <c r="D81" s="10"/>
      <c r="E81" s="9"/>
      <c r="F81" s="27"/>
      <c r="H81" s="28"/>
      <c r="I81" s="29"/>
      <c r="J81" s="10"/>
      <c r="K81" s="49"/>
    </row>
    <row r="82" spans="1:13" x14ac:dyDescent="0.25">
      <c r="C82" s="10"/>
      <c r="D82" s="10"/>
      <c r="E82" s="9"/>
      <c r="F82" s="27"/>
      <c r="H82" s="28"/>
      <c r="I82" s="29"/>
      <c r="J82" s="10"/>
      <c r="K82" s="49"/>
    </row>
    <row r="85" spans="1:13" x14ac:dyDescent="0.25">
      <c r="C85" s="14" t="s">
        <v>86</v>
      </c>
      <c r="H85" t="s">
        <v>79</v>
      </c>
    </row>
    <row r="88" spans="1:13" x14ac:dyDescent="0.25">
      <c r="A88" s="35" t="s">
        <v>84</v>
      </c>
      <c r="B88" s="31">
        <v>45</v>
      </c>
      <c r="C88" s="58">
        <f>TAN($B$88*3.1415/180)</f>
        <v>0.99995367427815629</v>
      </c>
      <c r="J88" s="28"/>
      <c r="K88" s="28"/>
      <c r="L88" s="28"/>
    </row>
    <row r="89" spans="1:13" x14ac:dyDescent="0.25">
      <c r="A89" s="26" t="s">
        <v>83</v>
      </c>
      <c r="B89" s="3">
        <v>2</v>
      </c>
      <c r="C89" s="10" t="s">
        <v>6</v>
      </c>
      <c r="D89" s="12" t="s">
        <v>21</v>
      </c>
      <c r="E89" s="14" t="s">
        <v>85</v>
      </c>
      <c r="F89" s="16" t="s">
        <v>40</v>
      </c>
      <c r="H89" s="14" t="s">
        <v>42</v>
      </c>
      <c r="I89" s="14" t="s">
        <v>15</v>
      </c>
      <c r="J89" s="59" t="s">
        <v>88</v>
      </c>
      <c r="K89" s="12" t="s">
        <v>87</v>
      </c>
      <c r="M89" s="48" t="s">
        <v>43</v>
      </c>
    </row>
    <row r="90" spans="1:13" x14ac:dyDescent="0.25">
      <c r="C90" s="11">
        <v>0.1</v>
      </c>
      <c r="D90" s="10">
        <f t="shared" ref="D90:D121" si="14">$B$89*C90+$C$88*C90^2</f>
        <v>0.20999953674278157</v>
      </c>
      <c r="E90" s="10">
        <f>$B$89+2*C90/COS($B$88*3.1415/180)</f>
        <v>2.2828361611040839</v>
      </c>
      <c r="F90" s="57">
        <f>D90/E90</f>
        <v>9.1990630042068464E-2</v>
      </c>
      <c r="H90" s="27">
        <f>(($B$91*8*9.81*F90*D90^2)/$B$95)^0.5</f>
        <v>0.20603404968038441</v>
      </c>
      <c r="I90" s="10">
        <f>C90</f>
        <v>0.1</v>
      </c>
      <c r="J90" s="60">
        <f>$B$89+2*C90*TAN($B$88*3.1415/180)</f>
        <v>2.1999907348556311</v>
      </c>
      <c r="K90" s="61">
        <f>D90^3</f>
        <v>9.2609387112052039E-3</v>
      </c>
      <c r="L90" s="10"/>
      <c r="M90" s="62">
        <f>SQRT(9.81*K90/J90)</f>
        <v>0.20321304468472257</v>
      </c>
    </row>
    <row r="91" spans="1:13" x14ac:dyDescent="0.25">
      <c r="A91" s="26" t="s">
        <v>39</v>
      </c>
      <c r="B91" s="3">
        <v>4.0000000000000001E-3</v>
      </c>
      <c r="C91" s="10">
        <f>C90+$B$98</f>
        <v>0.2</v>
      </c>
      <c r="D91" s="10">
        <f t="shared" si="14"/>
        <v>0.43999814697112627</v>
      </c>
      <c r="E91" s="10">
        <f t="shared" ref="E91:E154" si="15">$B$89+2*C91/COS($B$88*3.1415/180)</f>
        <v>2.5656723222081683</v>
      </c>
      <c r="F91" s="57">
        <f t="shared" ref="F91:F154" si="16">D91/E91</f>
        <v>0.17149428754504317</v>
      </c>
      <c r="H91" s="27">
        <f t="shared" ref="H91:H154" si="17">(($B$91*8*9.81*F91*D91^2)/$B$95)^0.5</f>
        <v>0.58941955760368026</v>
      </c>
      <c r="I91" s="10">
        <f t="shared" ref="I91:I154" si="18">C91</f>
        <v>0.2</v>
      </c>
      <c r="J91" s="60">
        <f t="shared" ref="J91:J154" si="19">$B$89+2*C91*TAN($B$88*3.1415/180)</f>
        <v>2.3999814697112627</v>
      </c>
      <c r="K91" s="61">
        <f t="shared" ref="K91:K154" si="20">D91^3</f>
        <v>8.5182923765362628E-2</v>
      </c>
      <c r="L91" s="10"/>
      <c r="M91" s="62">
        <f t="shared" ref="M91:M154" si="21">SQRT(9.81*K91/J91)</f>
        <v>0.59007447770046006</v>
      </c>
    </row>
    <row r="92" spans="1:13" x14ac:dyDescent="0.25">
      <c r="A92" s="3"/>
      <c r="B92" s="3"/>
      <c r="C92" s="10">
        <f t="shared" ref="C92:C155" si="22">C91+$B$98</f>
        <v>0.30000000000000004</v>
      </c>
      <c r="D92" s="10">
        <f t="shared" si="14"/>
        <v>0.68999583068503423</v>
      </c>
      <c r="E92" s="10">
        <f t="shared" si="15"/>
        <v>2.8485084833122523</v>
      </c>
      <c r="F92" s="57">
        <f t="shared" si="16"/>
        <v>0.24223056898981235</v>
      </c>
      <c r="H92" s="27">
        <f t="shared" si="17"/>
        <v>1.0985246502013504</v>
      </c>
      <c r="I92" s="10">
        <f t="shared" si="18"/>
        <v>0.30000000000000004</v>
      </c>
      <c r="J92" s="60">
        <f t="shared" si="19"/>
        <v>2.5999722045668938</v>
      </c>
      <c r="K92" s="61">
        <f t="shared" si="20"/>
        <v>0.32850304500341748</v>
      </c>
      <c r="L92" s="10"/>
      <c r="M92" s="62">
        <f t="shared" si="21"/>
        <v>1.1133195897821662</v>
      </c>
    </row>
    <row r="93" spans="1:13" x14ac:dyDescent="0.25">
      <c r="C93" s="10">
        <f t="shared" si="22"/>
        <v>0.4</v>
      </c>
      <c r="D93" s="10">
        <f t="shared" si="14"/>
        <v>0.95999258788450503</v>
      </c>
      <c r="E93" s="10">
        <f t="shared" si="15"/>
        <v>3.1313446444163366</v>
      </c>
      <c r="F93" s="57">
        <f t="shared" si="16"/>
        <v>0.30657519273591227</v>
      </c>
      <c r="H93" s="27">
        <f t="shared" si="17"/>
        <v>1.7194329711276406</v>
      </c>
      <c r="I93" s="10">
        <f t="shared" si="18"/>
        <v>0.4</v>
      </c>
      <c r="J93" s="60">
        <f t="shared" si="19"/>
        <v>2.7999629394225249</v>
      </c>
      <c r="K93" s="61">
        <f t="shared" si="20"/>
        <v>0.88471550714130476</v>
      </c>
      <c r="L93" s="10"/>
      <c r="M93" s="62">
        <f t="shared" si="21"/>
        <v>1.7605979099963178</v>
      </c>
    </row>
    <row r="94" spans="1:13" x14ac:dyDescent="0.25">
      <c r="A94" s="36"/>
      <c r="B94" s="37"/>
      <c r="C94" s="10">
        <f t="shared" si="22"/>
        <v>0.5</v>
      </c>
      <c r="D94" s="10">
        <f t="shared" si="14"/>
        <v>1.2499884185695391</v>
      </c>
      <c r="E94" s="10">
        <f t="shared" si="15"/>
        <v>3.4141808055204201</v>
      </c>
      <c r="F94" s="57">
        <f t="shared" si="16"/>
        <v>0.3661166440126491</v>
      </c>
      <c r="H94" s="27">
        <f t="shared" si="17"/>
        <v>2.4466091244169297</v>
      </c>
      <c r="I94" s="10">
        <f t="shared" si="18"/>
        <v>0.5</v>
      </c>
      <c r="J94" s="60">
        <f t="shared" si="19"/>
        <v>2.9999536742781565</v>
      </c>
      <c r="K94" s="61">
        <f t="shared" si="20"/>
        <v>1.9530707125476989</v>
      </c>
      <c r="L94" s="10"/>
      <c r="M94" s="62">
        <f t="shared" si="21"/>
        <v>2.5271802175411646</v>
      </c>
    </row>
    <row r="95" spans="1:13" x14ac:dyDescent="0.25">
      <c r="A95" s="3" t="s">
        <v>0</v>
      </c>
      <c r="B95" s="5">
        <v>0.03</v>
      </c>
      <c r="C95" s="10">
        <f t="shared" si="22"/>
        <v>0.6</v>
      </c>
      <c r="D95" s="10">
        <f t="shared" si="14"/>
        <v>1.5599833227401363</v>
      </c>
      <c r="E95" s="10">
        <f t="shared" si="15"/>
        <v>3.6970169666245045</v>
      </c>
      <c r="F95" s="57">
        <f t="shared" si="16"/>
        <v>0.42195730688367689</v>
      </c>
      <c r="H95" s="27">
        <f t="shared" si="17"/>
        <v>3.2779556764812305</v>
      </c>
      <c r="I95" s="10">
        <f t="shared" si="18"/>
        <v>0.6</v>
      </c>
      <c r="J95" s="60">
        <f t="shared" si="19"/>
        <v>3.1999444091337876</v>
      </c>
      <c r="K95" s="61">
        <f t="shared" si="20"/>
        <v>3.7962942439628358</v>
      </c>
      <c r="L95" s="10"/>
      <c r="M95" s="62">
        <f t="shared" si="21"/>
        <v>3.4114830678819232</v>
      </c>
    </row>
    <row r="96" spans="1:13" x14ac:dyDescent="0.25">
      <c r="C96" s="10">
        <f t="shared" si="22"/>
        <v>0.7</v>
      </c>
      <c r="D96" s="10">
        <f t="shared" si="14"/>
        <v>1.8899773003962963</v>
      </c>
      <c r="E96" s="10">
        <f t="shared" si="15"/>
        <v>3.979853127728588</v>
      </c>
      <c r="F96" s="57">
        <f t="shared" si="16"/>
        <v>0.47488619296736673</v>
      </c>
      <c r="H96" s="27">
        <f t="shared" si="17"/>
        <v>4.2130850372460635</v>
      </c>
      <c r="I96" s="10">
        <f t="shared" si="18"/>
        <v>0.7</v>
      </c>
      <c r="J96" s="60">
        <f t="shared" si="19"/>
        <v>3.3999351439894188</v>
      </c>
      <c r="K96" s="61">
        <f t="shared" si="20"/>
        <v>6.751025747158411</v>
      </c>
      <c r="L96" s="10"/>
      <c r="M96" s="62">
        <f t="shared" si="21"/>
        <v>4.4135095383767107</v>
      </c>
    </row>
    <row r="97" spans="1:13" x14ac:dyDescent="0.25">
      <c r="B97" s="1"/>
      <c r="C97" s="10">
        <f t="shared" si="22"/>
        <v>0.79999999999999993</v>
      </c>
      <c r="D97" s="10">
        <f t="shared" si="14"/>
        <v>2.2399703515380196</v>
      </c>
      <c r="E97" s="10">
        <f t="shared" si="15"/>
        <v>4.2626892888326724</v>
      </c>
      <c r="F97" s="57">
        <f t="shared" si="16"/>
        <v>0.52548290521813523</v>
      </c>
      <c r="H97" s="27">
        <f t="shared" si="17"/>
        <v>5.252552859473016</v>
      </c>
      <c r="I97" s="10">
        <f t="shared" si="18"/>
        <v>0.79999999999999993</v>
      </c>
      <c r="J97" s="60">
        <f t="shared" si="19"/>
        <v>3.5999258788450499</v>
      </c>
      <c r="K97" s="61">
        <f t="shared" si="20"/>
        <v>11.238977713538565</v>
      </c>
      <c r="L97" s="10"/>
      <c r="M97" s="62">
        <f t="shared" si="21"/>
        <v>5.5341525866137768</v>
      </c>
    </row>
    <row r="98" spans="1:13" x14ac:dyDescent="0.25">
      <c r="A98" s="4" t="s">
        <v>20</v>
      </c>
      <c r="B98" s="10">
        <v>0.1</v>
      </c>
      <c r="C98" s="10">
        <f t="shared" si="22"/>
        <v>0.89999999999999991</v>
      </c>
      <c r="D98" s="10">
        <f t="shared" si="14"/>
        <v>2.6099624761653062</v>
      </c>
      <c r="E98" s="10">
        <f t="shared" si="15"/>
        <v>4.5455254499367559</v>
      </c>
      <c r="F98" s="57">
        <f t="shared" si="16"/>
        <v>0.57418278808704504</v>
      </c>
      <c r="H98" s="27">
        <f t="shared" si="17"/>
        <v>6.3974693495431678</v>
      </c>
      <c r="I98" s="10">
        <f t="shared" si="18"/>
        <v>0.89999999999999991</v>
      </c>
      <c r="J98" s="60">
        <f t="shared" si="19"/>
        <v>3.799916613700681</v>
      </c>
      <c r="K98" s="61">
        <f t="shared" si="20"/>
        <v>17.778814162681932</v>
      </c>
      <c r="L98" s="10"/>
      <c r="M98" s="62">
        <f t="shared" si="21"/>
        <v>6.7748372331440248</v>
      </c>
    </row>
    <row r="99" spans="1:13" x14ac:dyDescent="0.25">
      <c r="A99" s="4" t="s">
        <v>38</v>
      </c>
      <c r="B99" s="1"/>
      <c r="C99" s="10">
        <f t="shared" si="22"/>
        <v>0.99999999999999989</v>
      </c>
      <c r="D99" s="10">
        <f t="shared" si="14"/>
        <v>2.9999536742781556</v>
      </c>
      <c r="E99" s="10">
        <f t="shared" si="15"/>
        <v>4.8283616110408403</v>
      </c>
      <c r="F99" s="57">
        <f t="shared" si="16"/>
        <v>0.62131917945380677</v>
      </c>
      <c r="H99" s="27">
        <f t="shared" si="17"/>
        <v>7.6492841457608129</v>
      </c>
      <c r="I99" s="10">
        <f t="shared" si="18"/>
        <v>0.99999999999999989</v>
      </c>
      <c r="J99" s="60">
        <f t="shared" si="19"/>
        <v>3.9999073485563121</v>
      </c>
      <c r="K99" s="61">
        <f t="shared" si="20"/>
        <v>26.998749224824753</v>
      </c>
      <c r="L99" s="10"/>
      <c r="M99" s="62">
        <f t="shared" si="21"/>
        <v>8.1373193513035478</v>
      </c>
    </row>
    <row r="100" spans="1:13" x14ac:dyDescent="0.25">
      <c r="C100" s="10">
        <f t="shared" si="22"/>
        <v>1.0999999999999999</v>
      </c>
      <c r="D100" s="10">
        <f t="shared" si="14"/>
        <v>3.4099439458765683</v>
      </c>
      <c r="E100" s="10">
        <f t="shared" si="15"/>
        <v>5.1111977721449247</v>
      </c>
      <c r="F100" s="57">
        <f t="shared" si="16"/>
        <v>0.66715163409643963</v>
      </c>
      <c r="H100" s="27">
        <f t="shared" si="17"/>
        <v>9.0096595908288215</v>
      </c>
      <c r="I100" s="10">
        <f t="shared" si="18"/>
        <v>1.0999999999999999</v>
      </c>
      <c r="J100" s="60">
        <f t="shared" si="19"/>
        <v>4.1998980834119433</v>
      </c>
      <c r="K100" s="61">
        <f t="shared" si="20"/>
        <v>39.649865623285116</v>
      </c>
      <c r="L100" s="10"/>
      <c r="M100" s="62">
        <f t="shared" si="21"/>
        <v>9.6235650824755083</v>
      </c>
    </row>
    <row r="101" spans="1:13" x14ac:dyDescent="0.25">
      <c r="C101" s="10">
        <f t="shared" si="22"/>
        <v>1.2</v>
      </c>
      <c r="D101" s="10">
        <f t="shared" si="14"/>
        <v>3.8399332909605448</v>
      </c>
      <c r="E101" s="10">
        <f t="shared" si="15"/>
        <v>5.394033933249009</v>
      </c>
      <c r="F101" s="57">
        <f>D101/E101</f>
        <v>0.71188526777539629</v>
      </c>
      <c r="H101" s="27">
        <f t="shared" si="17"/>
        <v>10.480392505439367</v>
      </c>
      <c r="I101" s="10">
        <f t="shared" si="18"/>
        <v>1.2</v>
      </c>
      <c r="J101" s="60">
        <f t="shared" si="19"/>
        <v>4.3998888182675753</v>
      </c>
      <c r="K101" s="61">
        <f t="shared" si="20"/>
        <v>56.620153056828237</v>
      </c>
      <c r="L101" s="10"/>
      <c r="M101" s="62">
        <f t="shared" si="21"/>
        <v>11.235675093134052</v>
      </c>
    </row>
    <row r="102" spans="1:13" x14ac:dyDescent="0.25">
      <c r="A102" s="3" t="s">
        <v>22</v>
      </c>
      <c r="C102" s="10">
        <f t="shared" si="22"/>
        <v>1.3</v>
      </c>
      <c r="D102" s="10">
        <f t="shared" si="14"/>
        <v>4.2899217095300841</v>
      </c>
      <c r="E102" s="10">
        <f t="shared" si="15"/>
        <v>5.6768700943530934</v>
      </c>
      <c r="F102" s="57">
        <f t="shared" si="16"/>
        <v>0.75568431868775066</v>
      </c>
      <c r="H102" s="27">
        <f t="shared" si="17"/>
        <v>12.063364128114946</v>
      </c>
      <c r="I102" s="10">
        <f t="shared" si="18"/>
        <v>1.3</v>
      </c>
      <c r="J102" s="60">
        <f t="shared" si="19"/>
        <v>4.5998795531232064</v>
      </c>
      <c r="K102" s="61">
        <f t="shared" si="20"/>
        <v>78.949266481972728</v>
      </c>
      <c r="L102" s="10"/>
      <c r="M102" s="62">
        <f t="shared" si="21"/>
        <v>12.975835267627062</v>
      </c>
    </row>
    <row r="103" spans="1:13" x14ac:dyDescent="0.25">
      <c r="A103" s="3" t="s">
        <v>23</v>
      </c>
      <c r="B103" s="9"/>
      <c r="C103" s="10">
        <f t="shared" si="22"/>
        <v>1.4000000000000001</v>
      </c>
      <c r="D103" s="10">
        <f t="shared" si="14"/>
        <v>4.7599092015851872</v>
      </c>
      <c r="E103" s="10">
        <f t="shared" si="15"/>
        <v>5.9597062554571778</v>
      </c>
      <c r="F103" s="57">
        <f t="shared" si="16"/>
        <v>0.79868184731867253</v>
      </c>
      <c r="H103" s="27">
        <f t="shared" si="17"/>
        <v>13.76050716257018</v>
      </c>
      <c r="I103" s="10">
        <f t="shared" si="18"/>
        <v>1.4000000000000001</v>
      </c>
      <c r="J103" s="60">
        <f t="shared" si="19"/>
        <v>4.7998702879788375</v>
      </c>
      <c r="K103" s="61">
        <f t="shared" si="20"/>
        <v>107.84400429523822</v>
      </c>
      <c r="L103" s="10"/>
      <c r="M103" s="62">
        <f t="shared" si="21"/>
        <v>14.846283711760872</v>
      </c>
    </row>
    <row r="104" spans="1:13" x14ac:dyDescent="0.25">
      <c r="A104" s="3" t="s">
        <v>24</v>
      </c>
      <c r="C104" s="10">
        <f t="shared" si="22"/>
        <v>1.5000000000000002</v>
      </c>
      <c r="D104" s="10">
        <f t="shared" si="14"/>
        <v>5.249895767125853</v>
      </c>
      <c r="E104" s="10">
        <f t="shared" si="15"/>
        <v>6.2425424165612613</v>
      </c>
      <c r="F104" s="57">
        <f t="shared" si="16"/>
        <v>0.84098679941654075</v>
      </c>
      <c r="H104" s="27">
        <f t="shared" si="17"/>
        <v>15.573783601006548</v>
      </c>
      <c r="I104" s="10">
        <f t="shared" si="18"/>
        <v>1.5000000000000002</v>
      </c>
      <c r="J104" s="60">
        <f t="shared" si="19"/>
        <v>4.9998610228344695</v>
      </c>
      <c r="K104" s="61">
        <f t="shared" si="20"/>
        <v>144.69450641533359</v>
      </c>
      <c r="L104" s="10"/>
      <c r="M104" s="62">
        <f t="shared" si="21"/>
        <v>16.849288194728061</v>
      </c>
    </row>
    <row r="105" spans="1:13" x14ac:dyDescent="0.25">
      <c r="C105" s="10">
        <f t="shared" si="22"/>
        <v>1.6000000000000003</v>
      </c>
      <c r="D105" s="10">
        <f t="shared" si="14"/>
        <v>5.7598814061520818</v>
      </c>
      <c r="E105" s="10">
        <f t="shared" si="15"/>
        <v>6.5253785776653457</v>
      </c>
      <c r="F105" s="57">
        <f t="shared" si="16"/>
        <v>0.88268923214150985</v>
      </c>
      <c r="H105" s="27">
        <f t="shared" si="17"/>
        <v>17.505169542599017</v>
      </c>
      <c r="I105" s="10">
        <f t="shared" si="18"/>
        <v>1.6000000000000003</v>
      </c>
      <c r="J105" s="60">
        <f t="shared" si="19"/>
        <v>5.1998517576901007</v>
      </c>
      <c r="K105" s="61">
        <f t="shared" si="20"/>
        <v>191.09117226528681</v>
      </c>
      <c r="L105" s="10"/>
      <c r="M105" s="62">
        <f t="shared" si="21"/>
        <v>18.987130474067552</v>
      </c>
    </row>
    <row r="106" spans="1:13" x14ac:dyDescent="0.25">
      <c r="C106" s="10">
        <f t="shared" si="22"/>
        <v>1.7000000000000004</v>
      </c>
      <c r="D106" s="10">
        <f t="shared" si="14"/>
        <v>6.2898661186638734</v>
      </c>
      <c r="E106" s="10">
        <f t="shared" si="15"/>
        <v>6.8082147387694301</v>
      </c>
      <c r="F106" s="57">
        <f t="shared" si="16"/>
        <v>0.92386423754324076</v>
      </c>
      <c r="H106" s="27">
        <f t="shared" si="17"/>
        <v>19.556644668984426</v>
      </c>
      <c r="I106" s="10">
        <f t="shared" si="18"/>
        <v>1.7000000000000004</v>
      </c>
      <c r="J106" s="60">
        <f t="shared" si="19"/>
        <v>5.3998424925457318</v>
      </c>
      <c r="K106" s="61">
        <f t="shared" si="20"/>
        <v>248.84229865451553</v>
      </c>
      <c r="L106" s="10"/>
      <c r="M106" s="62">
        <f t="shared" si="21"/>
        <v>21.26209527343692</v>
      </c>
    </row>
    <row r="107" spans="1:13" x14ac:dyDescent="0.25">
      <c r="C107" s="10">
        <f t="shared" si="22"/>
        <v>1.8000000000000005</v>
      </c>
      <c r="D107" s="10">
        <f t="shared" si="14"/>
        <v>6.8398499046612287</v>
      </c>
      <c r="E107" s="10">
        <f t="shared" si="15"/>
        <v>7.0910508998735144</v>
      </c>
      <c r="F107" s="57">
        <f t="shared" si="16"/>
        <v>0.96457492707931813</v>
      </c>
      <c r="H107" s="27">
        <f t="shared" si="17"/>
        <v>21.730184887003269</v>
      </c>
      <c r="I107" s="10">
        <f t="shared" si="18"/>
        <v>1.8000000000000005</v>
      </c>
      <c r="J107" s="60">
        <f t="shared" si="19"/>
        <v>5.5998332274013638</v>
      </c>
      <c r="K107" s="61">
        <f t="shared" si="20"/>
        <v>319.99243756083882</v>
      </c>
      <c r="L107" s="10"/>
      <c r="M107" s="62">
        <f t="shared" si="21"/>
        <v>23.676462471802228</v>
      </c>
    </row>
    <row r="108" spans="1:13" x14ac:dyDescent="0.25">
      <c r="C108" s="10">
        <f t="shared" si="22"/>
        <v>1.9000000000000006</v>
      </c>
      <c r="D108" s="10">
        <f t="shared" si="14"/>
        <v>7.4098327641441468</v>
      </c>
      <c r="E108" s="10">
        <f t="shared" si="15"/>
        <v>7.3738870609775988</v>
      </c>
      <c r="F108" s="57">
        <f t="shared" si="16"/>
        <v>1.0048747292804052</v>
      </c>
      <c r="H108" s="27">
        <f t="shared" si="17"/>
        <v>24.027757164918572</v>
      </c>
      <c r="I108" s="10">
        <f t="shared" si="18"/>
        <v>1.9000000000000006</v>
      </c>
      <c r="J108" s="60">
        <f t="shared" si="19"/>
        <v>5.7998239622569949</v>
      </c>
      <c r="K108" s="61">
        <f t="shared" si="20"/>
        <v>406.84147381242991</v>
      </c>
      <c r="L108" s="10"/>
      <c r="M108" s="62">
        <f t="shared" si="21"/>
        <v>26.232501548456767</v>
      </c>
    </row>
    <row r="109" spans="1:13" x14ac:dyDescent="0.25">
      <c r="C109" s="10">
        <f t="shared" si="22"/>
        <v>2.0000000000000004</v>
      </c>
      <c r="D109" s="10">
        <f t="shared" si="14"/>
        <v>7.9998146971126278</v>
      </c>
      <c r="E109" s="10">
        <f t="shared" si="15"/>
        <v>7.6567232220816823</v>
      </c>
      <c r="F109" s="57">
        <f t="shared" si="16"/>
        <v>1.0448091781666449</v>
      </c>
      <c r="H109" s="27">
        <f t="shared" si="17"/>
        <v>26.451315911303652</v>
      </c>
      <c r="I109" s="10">
        <f t="shared" si="18"/>
        <v>2.0000000000000004</v>
      </c>
      <c r="J109" s="60">
        <f t="shared" si="19"/>
        <v>5.999814697112626</v>
      </c>
      <c r="K109" s="61">
        <f t="shared" si="20"/>
        <v>511.96442266971002</v>
      </c>
      <c r="L109" s="10"/>
      <c r="M109" s="62">
        <f t="shared" si="21"/>
        <v>28.932467636303791</v>
      </c>
    </row>
    <row r="110" spans="1:13" x14ac:dyDescent="0.25">
      <c r="C110" s="10">
        <f t="shared" si="22"/>
        <v>2.1000000000000005</v>
      </c>
      <c r="D110" s="10">
        <f t="shared" si="14"/>
        <v>8.6097957035666717</v>
      </c>
      <c r="E110" s="10">
        <f t="shared" si="15"/>
        <v>7.9395593831857667</v>
      </c>
      <c r="F110" s="57">
        <f t="shared" si="16"/>
        <v>1.0844173194044391</v>
      </c>
      <c r="H110" s="27">
        <f t="shared" si="17"/>
        <v>29.002800453106481</v>
      </c>
      <c r="I110" s="10">
        <f t="shared" si="18"/>
        <v>2.1000000000000005</v>
      </c>
      <c r="J110" s="60">
        <f t="shared" si="19"/>
        <v>6.1998054319682572</v>
      </c>
      <c r="K110" s="61">
        <f t="shared" si="20"/>
        <v>638.23194730718353</v>
      </c>
      <c r="L110" s="10"/>
      <c r="M110" s="62">
        <f t="shared" si="21"/>
        <v>31.77859873613081</v>
      </c>
    </row>
    <row r="111" spans="1:13" x14ac:dyDescent="0.25">
      <c r="C111" s="10">
        <f t="shared" si="22"/>
        <v>2.2000000000000006</v>
      </c>
      <c r="D111" s="10">
        <f t="shared" si="14"/>
        <v>9.2397757835062801</v>
      </c>
      <c r="E111" s="10">
        <f t="shared" si="15"/>
        <v>8.2223955442898511</v>
      </c>
      <c r="F111" s="57">
        <f t="shared" si="16"/>
        <v>1.1237328262470858</v>
      </c>
      <c r="H111" s="27">
        <f t="shared" si="17"/>
        <v>31.684133305461863</v>
      </c>
      <c r="I111" s="10">
        <f t="shared" si="18"/>
        <v>2.2000000000000006</v>
      </c>
      <c r="J111" s="60">
        <f t="shared" si="19"/>
        <v>6.3997961668238892</v>
      </c>
      <c r="K111" s="61">
        <f t="shared" si="20"/>
        <v>788.83159619521462</v>
      </c>
      <c r="L111" s="10"/>
      <c r="M111" s="62">
        <f t="shared" si="21"/>
        <v>34.773113777751384</v>
      </c>
    </row>
    <row r="112" spans="1:13" x14ac:dyDescent="0.25">
      <c r="C112" s="10">
        <f t="shared" si="22"/>
        <v>2.3000000000000007</v>
      </c>
      <c r="D112" s="10">
        <f t="shared" si="14"/>
        <v>9.8897549369314515</v>
      </c>
      <c r="E112" s="10">
        <f t="shared" si="15"/>
        <v>8.5052317053939355</v>
      </c>
      <c r="F112" s="57">
        <f t="shared" si="16"/>
        <v>1.162784892815967</v>
      </c>
      <c r="H112" s="27">
        <f t="shared" si="17"/>
        <v>34.497219016899756</v>
      </c>
      <c r="I112" s="10">
        <f t="shared" si="18"/>
        <v>2.3000000000000007</v>
      </c>
      <c r="J112" s="60">
        <f t="shared" si="19"/>
        <v>6.5997869016795203</v>
      </c>
      <c r="K112" s="61">
        <f t="shared" si="20"/>
        <v>967.28976038174255</v>
      </c>
      <c r="L112" s="10"/>
      <c r="M112" s="62">
        <f t="shared" si="21"/>
        <v>37.918211304145778</v>
      </c>
    </row>
    <row r="113" spans="3:13" x14ac:dyDescent="0.25">
      <c r="C113" s="10">
        <f t="shared" si="22"/>
        <v>2.4000000000000008</v>
      </c>
      <c r="D113" s="10">
        <f t="shared" si="14"/>
        <v>10.559733163842186</v>
      </c>
      <c r="E113" s="10">
        <f t="shared" si="15"/>
        <v>8.7880678664980199</v>
      </c>
      <c r="F113" s="57">
        <f t="shared" si="16"/>
        <v>1.2015989548849673</v>
      </c>
      <c r="H113" s="27">
        <f t="shared" si="17"/>
        <v>37.44394343564452</v>
      </c>
      <c r="I113" s="10">
        <f t="shared" si="18"/>
        <v>2.4000000000000008</v>
      </c>
      <c r="J113" s="60">
        <f t="shared" si="19"/>
        <v>6.7997776365351514</v>
      </c>
      <c r="K113" s="61">
        <f t="shared" si="20"/>
        <v>1177.4943506739414</v>
      </c>
      <c r="L113" s="10"/>
      <c r="M113" s="62">
        <f t="shared" si="21"/>
        <v>41.216068616980877</v>
      </c>
    </row>
    <row r="114" spans="3:13" x14ac:dyDescent="0.25">
      <c r="C114" s="10">
        <f t="shared" si="22"/>
        <v>2.5000000000000009</v>
      </c>
      <c r="D114" s="10">
        <f t="shared" si="14"/>
        <v>11.249710464238483</v>
      </c>
      <c r="E114" s="10">
        <f t="shared" si="15"/>
        <v>9.0709040276021042</v>
      </c>
      <c r="F114" s="57">
        <f t="shared" si="16"/>
        <v>1.2401972758179811</v>
      </c>
      <c r="H114" s="27">
        <f t="shared" si="17"/>
        <v>40.526173285641946</v>
      </c>
      <c r="I114" s="10">
        <f t="shared" si="18"/>
        <v>2.5000000000000009</v>
      </c>
      <c r="J114" s="60">
        <f t="shared" si="19"/>
        <v>6.9997683713907835</v>
      </c>
      <c r="K114" s="61">
        <f t="shared" si="20"/>
        <v>1423.7181947198194</v>
      </c>
      <c r="L114" s="10"/>
      <c r="M114" s="62">
        <f t="shared" si="21"/>
        <v>44.668841265491224</v>
      </c>
    </row>
    <row r="115" spans="3:13" x14ac:dyDescent="0.25">
      <c r="C115" s="10">
        <f t="shared" si="22"/>
        <v>2.600000000000001</v>
      </c>
      <c r="D115" s="10">
        <f t="shared" si="14"/>
        <v>11.959686838120344</v>
      </c>
      <c r="E115" s="10">
        <f t="shared" si="15"/>
        <v>9.3537401887061886</v>
      </c>
      <c r="F115" s="57">
        <f t="shared" si="16"/>
        <v>1.2785994262017888</v>
      </c>
      <c r="H115" s="27">
        <f t="shared" si="17"/>
        <v>43.745755971097836</v>
      </c>
      <c r="I115" s="10">
        <f t="shared" si="18"/>
        <v>2.600000000000001</v>
      </c>
      <c r="J115" s="60">
        <f t="shared" si="19"/>
        <v>7.1997591062464146</v>
      </c>
      <c r="K115" s="61">
        <f t="shared" si="20"/>
        <v>1710.643153989759</v>
      </c>
      <c r="L115" s="10"/>
      <c r="M115" s="62">
        <f t="shared" si="21"/>
        <v>48.278662791671678</v>
      </c>
    </row>
    <row r="116" spans="3:13" x14ac:dyDescent="0.25">
      <c r="C116" s="10">
        <f t="shared" si="22"/>
        <v>2.7000000000000011</v>
      </c>
      <c r="D116" s="10">
        <f t="shared" si="14"/>
        <v>12.689662285487767</v>
      </c>
      <c r="E116" s="10">
        <f t="shared" si="15"/>
        <v>9.636576349810273</v>
      </c>
      <c r="F116" s="57">
        <f t="shared" si="16"/>
        <v>1.3168226790147939</v>
      </c>
      <c r="H116" s="27">
        <f t="shared" si="17"/>
        <v>47.104519549749632</v>
      </c>
      <c r="I116" s="10">
        <f t="shared" si="18"/>
        <v>2.7000000000000011</v>
      </c>
      <c r="J116" s="60">
        <f t="shared" si="19"/>
        <v>7.3997498411020457</v>
      </c>
      <c r="K116" s="61">
        <f t="shared" si="20"/>
        <v>2043.3849606579965</v>
      </c>
      <c r="L116" s="10"/>
      <c r="M116" s="62">
        <f t="shared" si="21"/>
        <v>52.047644667003375</v>
      </c>
    </row>
    <row r="117" spans="3:13" x14ac:dyDescent="0.25">
      <c r="C117" s="10">
        <f t="shared" si="22"/>
        <v>2.8000000000000012</v>
      </c>
      <c r="D117" s="10">
        <f t="shared" si="14"/>
        <v>13.439636806340754</v>
      </c>
      <c r="E117" s="10">
        <f t="shared" si="15"/>
        <v>9.9194125109143574</v>
      </c>
      <c r="F117" s="57">
        <f t="shared" si="16"/>
        <v>1.3548823371901395</v>
      </c>
      <c r="H117" s="27">
        <f t="shared" si="17"/>
        <v>50.604272830516571</v>
      </c>
      <c r="I117" s="10">
        <f t="shared" si="18"/>
        <v>2.8000000000000012</v>
      </c>
      <c r="J117" s="60">
        <f t="shared" si="19"/>
        <v>7.5997405759576777</v>
      </c>
      <c r="K117" s="61">
        <f t="shared" si="20"/>
        <v>2427.5187743840484</v>
      </c>
      <c r="L117" s="10"/>
      <c r="M117" s="62">
        <f t="shared" si="21"/>
        <v>55.977876372134624</v>
      </c>
    </row>
    <row r="118" spans="3:13" x14ac:dyDescent="0.25">
      <c r="C118" s="10">
        <f t="shared" si="22"/>
        <v>2.9000000000000012</v>
      </c>
      <c r="D118" s="10">
        <f t="shared" si="14"/>
        <v>14.209610400679304</v>
      </c>
      <c r="E118" s="10">
        <f t="shared" si="15"/>
        <v>10.202248672018442</v>
      </c>
      <c r="F118" s="57">
        <f t="shared" si="16"/>
        <v>1.392792006692779</v>
      </c>
      <c r="H118" s="27">
        <f t="shared" si="17"/>
        <v>54.246805562388502</v>
      </c>
      <c r="I118" s="10">
        <f t="shared" si="18"/>
        <v>2.9000000000000012</v>
      </c>
      <c r="J118" s="60">
        <f t="shared" si="19"/>
        <v>7.7997313108133088</v>
      </c>
      <c r="K118" s="61">
        <f t="shared" si="20"/>
        <v>2869.1054589940713</v>
      </c>
      <c r="L118" s="10"/>
      <c r="M118" s="62">
        <f t="shared" si="21"/>
        <v>60.071425582842089</v>
      </c>
    </row>
    <row r="119" spans="3:13" x14ac:dyDescent="0.25">
      <c r="C119" s="10">
        <f t="shared" si="22"/>
        <v>3.0000000000000013</v>
      </c>
      <c r="D119" s="10">
        <f t="shared" si="14"/>
        <v>14.999583068503416</v>
      </c>
      <c r="E119" s="10">
        <f t="shared" si="15"/>
        <v>10.485084833122526</v>
      </c>
      <c r="F119" s="57">
        <f t="shared" si="16"/>
        <v>1.4305638253988684</v>
      </c>
      <c r="H119" s="27">
        <f t="shared" si="17"/>
        <v>58.033888689647441</v>
      </c>
      <c r="I119" s="10">
        <f t="shared" si="18"/>
        <v>3.0000000000000013</v>
      </c>
      <c r="J119" s="60">
        <f t="shared" si="19"/>
        <v>7.9997220456689409</v>
      </c>
      <c r="K119" s="61">
        <f t="shared" si="20"/>
        <v>3374.7185790621675</v>
      </c>
      <c r="L119" s="10"/>
      <c r="M119" s="62">
        <f t="shared" si="21"/>
        <v>64.330338434426722</v>
      </c>
    </row>
    <row r="120" spans="3:13" x14ac:dyDescent="0.25">
      <c r="C120" s="10">
        <f t="shared" si="22"/>
        <v>3.1000000000000014</v>
      </c>
      <c r="D120" s="10">
        <f t="shared" si="14"/>
        <v>15.809554809813093</v>
      </c>
      <c r="E120" s="10">
        <f t="shared" si="15"/>
        <v>10.767920994226611</v>
      </c>
      <c r="F120" s="57">
        <f t="shared" si="16"/>
        <v>1.4682086559039236</v>
      </c>
      <c r="H120" s="27">
        <f t="shared" si="17"/>
        <v>61.967274654612936</v>
      </c>
      <c r="I120" s="10">
        <f t="shared" si="18"/>
        <v>3.1000000000000014</v>
      </c>
      <c r="J120" s="60">
        <f t="shared" si="19"/>
        <v>8.1997127805245711</v>
      </c>
      <c r="K120" s="61">
        <f t="shared" si="20"/>
        <v>3951.4721163916352</v>
      </c>
      <c r="L120" s="10"/>
      <c r="M120" s="62">
        <f t="shared" si="21"/>
        <v>68.756639843302864</v>
      </c>
    </row>
    <row r="121" spans="3:13" x14ac:dyDescent="0.25">
      <c r="C121" s="10">
        <f t="shared" si="22"/>
        <v>3.2000000000000015</v>
      </c>
      <c r="D121" s="10">
        <f t="shared" si="14"/>
        <v>16.639525624608332</v>
      </c>
      <c r="E121" s="10">
        <f t="shared" si="15"/>
        <v>11.050757155330695</v>
      </c>
      <c r="F121" s="57">
        <f t="shared" si="16"/>
        <v>1.5057362487222616</v>
      </c>
      <c r="H121" s="27">
        <f t="shared" si="17"/>
        <v>66.048697733653512</v>
      </c>
      <c r="I121" s="10">
        <f t="shared" si="18"/>
        <v>3.2000000000000015</v>
      </c>
      <c r="J121" s="60">
        <f t="shared" si="19"/>
        <v>8.3997035153802031</v>
      </c>
      <c r="K121" s="61">
        <f t="shared" si="20"/>
        <v>4607.048906396145</v>
      </c>
      <c r="L121" s="10"/>
      <c r="M121" s="62">
        <f t="shared" si="21"/>
        <v>73.352333869514879</v>
      </c>
    </row>
    <row r="122" spans="3:13" x14ac:dyDescent="0.25">
      <c r="C122" s="10">
        <f t="shared" si="22"/>
        <v>3.3000000000000016</v>
      </c>
      <c r="D122" s="10">
        <f t="shared" ref="D122:D153" si="23">$B$89*C122+$C$88*C122^2</f>
        <v>17.489495512889135</v>
      </c>
      <c r="E122" s="10">
        <f t="shared" si="15"/>
        <v>11.333593316434779</v>
      </c>
      <c r="F122" s="57">
        <f t="shared" si="16"/>
        <v>1.5431553810500434</v>
      </c>
      <c r="H122" s="27">
        <f t="shared" si="17"/>
        <v>70.279874395628866</v>
      </c>
      <c r="I122" s="10">
        <f t="shared" si="18"/>
        <v>3.3000000000000016</v>
      </c>
      <c r="J122" s="60">
        <f t="shared" si="19"/>
        <v>8.5996942502358351</v>
      </c>
      <c r="K122" s="61">
        <f t="shared" si="20"/>
        <v>5349.7297943808799</v>
      </c>
      <c r="L122" s="10"/>
      <c r="M122" s="62">
        <f t="shared" si="21"/>
        <v>78.119404107693867</v>
      </c>
    </row>
    <row r="123" spans="3:13" x14ac:dyDescent="0.25">
      <c r="C123" s="10">
        <f t="shared" si="22"/>
        <v>3.4000000000000017</v>
      </c>
      <c r="D123" s="10">
        <f t="shared" si="23"/>
        <v>18.3594644746555</v>
      </c>
      <c r="E123" s="10">
        <f t="shared" si="15"/>
        <v>11.616429477538864</v>
      </c>
      <c r="F123" s="57">
        <f t="shared" si="16"/>
        <v>1.5804739752567465</v>
      </c>
      <c r="H123" s="27">
        <f t="shared" si="17"/>
        <v>74.662503674515122</v>
      </c>
      <c r="I123" s="10">
        <f t="shared" si="18"/>
        <v>3.4000000000000017</v>
      </c>
      <c r="J123" s="60">
        <f t="shared" si="19"/>
        <v>8.7996849850914671</v>
      </c>
      <c r="K123" s="61">
        <f t="shared" si="20"/>
        <v>6188.4235117235939</v>
      </c>
      <c r="L123" s="10"/>
      <c r="M123" s="62">
        <f t="shared" si="21"/>
        <v>83.059814096849067</v>
      </c>
    </row>
    <row r="124" spans="3:13" x14ac:dyDescent="0.25">
      <c r="C124" s="10">
        <f t="shared" si="22"/>
        <v>3.5000000000000018</v>
      </c>
      <c r="D124" s="10">
        <f t="shared" si="23"/>
        <v>19.249432509907429</v>
      </c>
      <c r="E124" s="10">
        <f t="shared" si="15"/>
        <v>11.899265638642948</v>
      </c>
      <c r="F124" s="57">
        <f t="shared" si="16"/>
        <v>1.6176992004779491</v>
      </c>
      <c r="H124" s="27">
        <f t="shared" si="17"/>
        <v>79.198267549936688</v>
      </c>
      <c r="I124" s="10">
        <f t="shared" si="18"/>
        <v>3.5000000000000018</v>
      </c>
      <c r="J124" s="60">
        <f t="shared" si="19"/>
        <v>8.9996757199470974</v>
      </c>
      <c r="K124" s="61">
        <f t="shared" si="20"/>
        <v>7132.6972719556315</v>
      </c>
      <c r="L124" s="10"/>
      <c r="M124" s="62">
        <f t="shared" si="21"/>
        <v>88.175507741604207</v>
      </c>
    </row>
    <row r="125" spans="3:13" x14ac:dyDescent="0.25">
      <c r="C125" s="10">
        <f t="shared" si="22"/>
        <v>3.6000000000000019</v>
      </c>
      <c r="D125" s="10">
        <f t="shared" si="23"/>
        <v>20.159399618644922</v>
      </c>
      <c r="E125" s="10">
        <f t="shared" si="15"/>
        <v>12.182101799747031</v>
      </c>
      <c r="F125" s="57">
        <f t="shared" si="16"/>
        <v>1.6548375600558145</v>
      </c>
      <c r="H125" s="27">
        <f t="shared" si="17"/>
        <v>83.888831330833781</v>
      </c>
      <c r="I125" s="10">
        <f t="shared" si="18"/>
        <v>3.6000000000000019</v>
      </c>
      <c r="J125" s="60">
        <f t="shared" si="19"/>
        <v>9.1996664548027294</v>
      </c>
      <c r="K125" s="61">
        <f t="shared" si="20"/>
        <v>8192.8080867428707</v>
      </c>
      <c r="L125" s="10"/>
      <c r="M125" s="62">
        <f t="shared" si="21"/>
        <v>93.468409739196304</v>
      </c>
    </row>
    <row r="126" spans="3:13" x14ac:dyDescent="0.25">
      <c r="C126" s="10">
        <f t="shared" si="22"/>
        <v>3.700000000000002</v>
      </c>
      <c r="D126" s="10">
        <f t="shared" si="23"/>
        <v>21.089365800867977</v>
      </c>
      <c r="E126" s="10">
        <f t="shared" si="15"/>
        <v>12.464937960851115</v>
      </c>
      <c r="F126" s="57">
        <f t="shared" si="16"/>
        <v>1.6918949670751493</v>
      </c>
      <c r="H126" s="27">
        <f t="shared" si="17"/>
        <v>88.735844038652644</v>
      </c>
      <c r="I126" s="10">
        <f t="shared" si="18"/>
        <v>3.700000000000002</v>
      </c>
      <c r="J126" s="60">
        <f t="shared" si="19"/>
        <v>9.3996571896583596</v>
      </c>
      <c r="K126" s="61">
        <f t="shared" si="20"/>
        <v>9379.7348017666172</v>
      </c>
      <c r="L126" s="10"/>
      <c r="M126" s="62">
        <f t="shared" si="21"/>
        <v>98.940426007879637</v>
      </c>
    </row>
    <row r="127" spans="3:13" x14ac:dyDescent="0.25">
      <c r="C127" s="10">
        <f t="shared" si="22"/>
        <v>3.800000000000002</v>
      </c>
      <c r="D127" s="10">
        <f t="shared" si="23"/>
        <v>22.039331056576597</v>
      </c>
      <c r="E127" s="10">
        <f t="shared" si="15"/>
        <v>12.747774121955199</v>
      </c>
      <c r="F127" s="57">
        <f t="shared" si="16"/>
        <v>1.7288768098439053</v>
      </c>
      <c r="H127" s="27">
        <f t="shared" si="17"/>
        <v>93.740938787337981</v>
      </c>
      <c r="I127" s="10">
        <f t="shared" si="18"/>
        <v>3.800000000000002</v>
      </c>
      <c r="J127" s="60">
        <f t="shared" si="19"/>
        <v>9.5996479245139916</v>
      </c>
      <c r="K127" s="61">
        <f t="shared" si="20"/>
        <v>10705.210852504442</v>
      </c>
      <c r="L127" s="10"/>
      <c r="M127" s="62">
        <f t="shared" si="21"/>
        <v>104.59344411340577</v>
      </c>
    </row>
    <row r="128" spans="3:13" x14ac:dyDescent="0.25">
      <c r="C128" s="10">
        <f t="shared" si="22"/>
        <v>3.9000000000000021</v>
      </c>
      <c r="D128" s="10">
        <f t="shared" si="23"/>
        <v>23.009295385770777</v>
      </c>
      <c r="E128" s="10">
        <f t="shared" si="15"/>
        <v>13.030610283059284</v>
      </c>
      <c r="F128" s="57">
        <f t="shared" si="16"/>
        <v>1.7657880088459472</v>
      </c>
      <c r="H128" s="27">
        <f t="shared" si="17"/>
        <v>98.905733158096339</v>
      </c>
      <c r="I128" s="10">
        <f t="shared" si="18"/>
        <v>3.9000000000000021</v>
      </c>
      <c r="J128" s="60">
        <f t="shared" si="19"/>
        <v>9.7996386593696236</v>
      </c>
      <c r="K128" s="61">
        <f t="shared" si="20"/>
        <v>12181.75773991095</v>
      </c>
      <c r="L128" s="10"/>
      <c r="M128" s="62">
        <f t="shared" si="21"/>
        <v>110.42933369105535</v>
      </c>
    </row>
    <row r="129" spans="3:13" x14ac:dyDescent="0.25">
      <c r="C129" s="10">
        <f t="shared" si="22"/>
        <v>4.0000000000000018</v>
      </c>
      <c r="D129" s="10">
        <f t="shared" si="23"/>
        <v>23.999258788450518</v>
      </c>
      <c r="E129" s="10">
        <f t="shared" si="15"/>
        <v>13.313446444163368</v>
      </c>
      <c r="F129" s="57">
        <f t="shared" si="16"/>
        <v>1.8026330664342609</v>
      </c>
      <c r="H129" s="27">
        <f t="shared" si="17"/>
        <v>104.23182956743513</v>
      </c>
      <c r="I129" s="10">
        <f t="shared" si="18"/>
        <v>4.0000000000000018</v>
      </c>
      <c r="J129" s="60">
        <f t="shared" si="19"/>
        <v>9.9996293942252539</v>
      </c>
      <c r="K129" s="61">
        <f t="shared" si="20"/>
        <v>13822.719225998499</v>
      </c>
      <c r="L129" s="10"/>
      <c r="M129" s="62">
        <f t="shared" si="21"/>
        <v>116.44994686132502</v>
      </c>
    </row>
    <row r="130" spans="3:13" x14ac:dyDescent="0.25">
      <c r="C130" s="10">
        <f t="shared" si="22"/>
        <v>4.1000000000000014</v>
      </c>
      <c r="D130" s="10">
        <f t="shared" si="23"/>
        <v>25.009221264615825</v>
      </c>
      <c r="E130" s="10">
        <f t="shared" si="15"/>
        <v>13.596282605267451</v>
      </c>
      <c r="F130" s="57">
        <f t="shared" si="16"/>
        <v>1.8394161103217133</v>
      </c>
      <c r="H130" s="27">
        <f t="shared" si="17"/>
        <v>109.72081562739689</v>
      </c>
      <c r="I130" s="10">
        <f t="shared" si="18"/>
        <v>4.1000000000000014</v>
      </c>
      <c r="J130" s="60">
        <f t="shared" si="19"/>
        <v>10.199620129080884</v>
      </c>
      <c r="K130" s="61">
        <f t="shared" si="20"/>
        <v>15642.296249317855</v>
      </c>
      <c r="L130" s="10"/>
      <c r="M130" s="62">
        <f t="shared" si="21"/>
        <v>122.65711863786521</v>
      </c>
    </row>
    <row r="131" spans="3:13" x14ac:dyDescent="0.25">
      <c r="C131" s="10">
        <f t="shared" si="22"/>
        <v>4.2000000000000011</v>
      </c>
      <c r="D131" s="10">
        <f t="shared" si="23"/>
        <v>26.039182814266688</v>
      </c>
      <c r="E131" s="10">
        <f t="shared" si="15"/>
        <v>13.879118766371533</v>
      </c>
      <c r="F131" s="57">
        <f t="shared" si="16"/>
        <v>1.8761409317541422</v>
      </c>
      <c r="H131" s="27">
        <f t="shared" si="17"/>
        <v>115.37426449723111</v>
      </c>
      <c r="I131" s="10">
        <f t="shared" si="18"/>
        <v>4.2000000000000011</v>
      </c>
      <c r="J131" s="60">
        <f t="shared" si="19"/>
        <v>10.399610863936514</v>
      </c>
      <c r="K131" s="61">
        <f t="shared" si="20"/>
        <v>17655.582560338782</v>
      </c>
      <c r="L131" s="10"/>
      <c r="M131" s="62">
        <f t="shared" si="21"/>
        <v>129.0526673266512</v>
      </c>
    </row>
    <row r="132" spans="3:13" x14ac:dyDescent="0.25">
      <c r="C132" s="10">
        <f t="shared" si="22"/>
        <v>4.3000000000000007</v>
      </c>
      <c r="D132" s="10">
        <f t="shared" si="23"/>
        <v>27.089143437403116</v>
      </c>
      <c r="E132" s="10">
        <f t="shared" si="15"/>
        <v>14.161954927475616</v>
      </c>
      <c r="F132" s="57">
        <f t="shared" si="16"/>
        <v>1.9128110191091949</v>
      </c>
      <c r="H132" s="27">
        <f t="shared" si="17"/>
        <v>121.19373522599687</v>
      </c>
      <c r="I132" s="10">
        <f t="shared" si="18"/>
        <v>4.3000000000000007</v>
      </c>
      <c r="J132" s="60">
        <f t="shared" si="19"/>
        <v>10.599601598792146</v>
      </c>
      <c r="K132" s="61">
        <f t="shared" si="20"/>
        <v>19878.601076730611</v>
      </c>
      <c r="L132" s="10"/>
      <c r="M132" s="62">
        <f t="shared" si="21"/>
        <v>135.63839491567293</v>
      </c>
    </row>
    <row r="133" spans="3:13" x14ac:dyDescent="0.25">
      <c r="C133" s="10">
        <f t="shared" si="22"/>
        <v>4.4000000000000004</v>
      </c>
      <c r="D133" s="10">
        <f t="shared" si="23"/>
        <v>28.159103134025109</v>
      </c>
      <c r="E133" s="10">
        <f t="shared" si="15"/>
        <v>14.4447910885797</v>
      </c>
      <c r="F133" s="57">
        <f t="shared" si="16"/>
        <v>1.9494295875478724</v>
      </c>
      <c r="H133" s="27">
        <f t="shared" si="17"/>
        <v>127.18077308578412</v>
      </c>
      <c r="I133" s="10">
        <f t="shared" si="18"/>
        <v>4.4000000000000004</v>
      </c>
      <c r="J133" s="60">
        <f t="shared" si="19"/>
        <v>10.799592333647777</v>
      </c>
      <c r="K133" s="61">
        <f t="shared" si="20"/>
        <v>22328.340958542682</v>
      </c>
      <c r="L133" s="10"/>
      <c r="M133" s="62">
        <f t="shared" si="21"/>
        <v>142.41608745466624</v>
      </c>
    </row>
    <row r="134" spans="3:13" x14ac:dyDescent="0.25">
      <c r="C134" s="10">
        <f t="shared" si="22"/>
        <v>4.5</v>
      </c>
      <c r="D134" s="10">
        <f t="shared" si="23"/>
        <v>29.249061904132663</v>
      </c>
      <c r="E134" s="10">
        <f t="shared" si="15"/>
        <v>14.727627249683783</v>
      </c>
      <c r="F134" s="57">
        <f t="shared" si="16"/>
        <v>1.9859996052494246</v>
      </c>
      <c r="H134" s="27">
        <f t="shared" si="17"/>
        <v>133.33690989539204</v>
      </c>
      <c r="I134" s="10">
        <f t="shared" si="18"/>
        <v>4.5</v>
      </c>
      <c r="J134" s="60">
        <f t="shared" si="19"/>
        <v>10.999583068503407</v>
      </c>
      <c r="K134" s="61">
        <f t="shared" si="20"/>
        <v>25022.79540328477</v>
      </c>
      <c r="L134" s="10"/>
      <c r="M134" s="62">
        <f t="shared" si="21"/>
        <v>149.38751542459519</v>
      </c>
    </row>
    <row r="135" spans="3:13" x14ac:dyDescent="0.25">
      <c r="C135" s="10">
        <f t="shared" si="22"/>
        <v>4.5999999999999996</v>
      </c>
      <c r="D135" s="10">
        <f t="shared" si="23"/>
        <v>30.359019747725782</v>
      </c>
      <c r="E135" s="10">
        <f t="shared" si="15"/>
        <v>15.010463410787866</v>
      </c>
      <c r="F135" s="57">
        <f t="shared" si="16"/>
        <v>2.0225238166802408</v>
      </c>
      <c r="H135" s="27">
        <f t="shared" si="17"/>
        <v>139.66366433441928</v>
      </c>
      <c r="I135" s="10">
        <f t="shared" si="18"/>
        <v>4.5999999999999996</v>
      </c>
      <c r="J135" s="60">
        <f t="shared" si="19"/>
        <v>11.199573803359037</v>
      </c>
      <c r="K135" s="61">
        <f t="shared" si="20"/>
        <v>27981.00016090749</v>
      </c>
      <c r="L135" s="10"/>
      <c r="M135" s="62">
        <f t="shared" si="21"/>
        <v>156.55443409674092</v>
      </c>
    </row>
    <row r="136" spans="3:13" x14ac:dyDescent="0.25">
      <c r="C136" s="10">
        <f t="shared" si="22"/>
        <v>4.6999999999999993</v>
      </c>
      <c r="D136" s="10">
        <f t="shared" si="23"/>
        <v>31.488976664804465</v>
      </c>
      <c r="E136" s="10">
        <f t="shared" si="15"/>
        <v>15.293299571891948</v>
      </c>
      <c r="F136" s="57">
        <f t="shared" si="16"/>
        <v>2.0590047632807167</v>
      </c>
      <c r="H136" s="27">
        <f t="shared" si="17"/>
        <v>146.16254224780945</v>
      </c>
      <c r="I136" s="10">
        <f t="shared" si="18"/>
        <v>4.6999999999999993</v>
      </c>
      <c r="J136" s="60">
        <f t="shared" si="19"/>
        <v>11.399564538214667</v>
      </c>
      <c r="K136" s="61">
        <f t="shared" si="20"/>
        <v>31223.07276868253</v>
      </c>
      <c r="L136" s="10"/>
      <c r="M136" s="62">
        <f t="shared" si="21"/>
        <v>163.91858388136367</v>
      </c>
    </row>
    <row r="137" spans="3:13" x14ac:dyDescent="0.25">
      <c r="C137" s="10">
        <f t="shared" si="22"/>
        <v>4.7999999999999989</v>
      </c>
      <c r="D137" s="10">
        <f t="shared" si="23"/>
        <v>32.638932655368706</v>
      </c>
      <c r="E137" s="10">
        <f t="shared" si="15"/>
        <v>15.576135732996033</v>
      </c>
      <c r="F137" s="57">
        <f t="shared" si="16"/>
        <v>2.0954448018982874</v>
      </c>
      <c r="H137" s="27">
        <f t="shared" si="17"/>
        <v>152.83503694096387</v>
      </c>
      <c r="I137" s="10">
        <f t="shared" si="18"/>
        <v>4.7999999999999989</v>
      </c>
      <c r="J137" s="60">
        <f t="shared" si="19"/>
        <v>11.599555273070298</v>
      </c>
      <c r="K137" s="61">
        <f t="shared" si="20"/>
        <v>34770.252505982942</v>
      </c>
      <c r="L137" s="10"/>
      <c r="M137" s="62">
        <f t="shared" si="21"/>
        <v>171.48169066599522</v>
      </c>
    </row>
    <row r="138" spans="3:13" x14ac:dyDescent="0.25">
      <c r="C138" s="10">
        <f t="shared" si="22"/>
        <v>4.8999999999999986</v>
      </c>
      <c r="D138" s="10">
        <f t="shared" si="23"/>
        <v>33.808887719418522</v>
      </c>
      <c r="E138" s="10">
        <f t="shared" si="15"/>
        <v>15.858971894100115</v>
      </c>
      <c r="F138" s="57">
        <f t="shared" si="16"/>
        <v>2.1318461212480089</v>
      </c>
      <c r="H138" s="27">
        <f t="shared" si="17"/>
        <v>159.68262946558337</v>
      </c>
      <c r="I138" s="10">
        <f t="shared" si="18"/>
        <v>4.8999999999999986</v>
      </c>
      <c r="J138" s="60">
        <f t="shared" si="19"/>
        <v>11.79954600792593</v>
      </c>
      <c r="K138" s="61">
        <f t="shared" si="20"/>
        <v>38644.941068963366</v>
      </c>
      <c r="L138" s="10"/>
      <c r="M138" s="62">
        <f t="shared" si="21"/>
        <v>179.2454661434835</v>
      </c>
    </row>
    <row r="139" spans="3:13" x14ac:dyDescent="0.25">
      <c r="C139" s="10">
        <f t="shared" si="22"/>
        <v>4.9999999999999982</v>
      </c>
      <c r="D139" s="10">
        <f t="shared" si="23"/>
        <v>34.998841856953888</v>
      </c>
      <c r="E139" s="10">
        <f t="shared" si="15"/>
        <v>16.141808055204198</v>
      </c>
      <c r="F139" s="57">
        <f t="shared" si="16"/>
        <v>2.1682107566425985</v>
      </c>
      <c r="H139" s="27">
        <f t="shared" si="17"/>
        <v>166.70678889643912</v>
      </c>
      <c r="I139" s="10">
        <f t="shared" si="18"/>
        <v>4.9999999999999982</v>
      </c>
      <c r="J139" s="60">
        <f t="shared" si="19"/>
        <v>11.99953674278156</v>
      </c>
      <c r="K139" s="61">
        <f t="shared" si="20"/>
        <v>42870.743965139991</v>
      </c>
      <c r="L139" s="10"/>
      <c r="M139" s="62">
        <f t="shared" si="21"/>
        <v>187.21160812996308</v>
      </c>
    </row>
    <row r="140" spans="3:13" x14ac:dyDescent="0.25">
      <c r="C140" s="10">
        <f t="shared" si="22"/>
        <v>5.0999999999999979</v>
      </c>
      <c r="D140" s="10">
        <f t="shared" si="23"/>
        <v>36.208795067974819</v>
      </c>
      <c r="E140" s="10">
        <f t="shared" si="15"/>
        <v>16.42464421630828</v>
      </c>
      <c r="F140" s="57">
        <f t="shared" si="16"/>
        <v>2.2045406032005586</v>
      </c>
      <c r="H140" s="27">
        <f t="shared" si="17"/>
        <v>173.9089725993004</v>
      </c>
      <c r="I140" s="10">
        <f t="shared" si="18"/>
        <v>5.0999999999999979</v>
      </c>
      <c r="J140" s="60">
        <f t="shared" si="19"/>
        <v>12.19952747763719</v>
      </c>
      <c r="K140" s="61">
        <f t="shared" si="20"/>
        <v>47472.512627870856</v>
      </c>
      <c r="L140" s="10"/>
      <c r="M140" s="62">
        <f t="shared" si="21"/>
        <v>195.38180087296442</v>
      </c>
    </row>
    <row r="141" spans="3:13" x14ac:dyDescent="0.25">
      <c r="C141" s="10">
        <f t="shared" si="22"/>
        <v>5.1999999999999975</v>
      </c>
      <c r="D141" s="10">
        <f t="shared" si="23"/>
        <v>37.438747352481315</v>
      </c>
      <c r="E141" s="10">
        <f t="shared" si="15"/>
        <v>16.707480377412367</v>
      </c>
      <c r="F141" s="57">
        <f t="shared" si="16"/>
        <v>2.2408374277127106</v>
      </c>
      <c r="H141" s="27">
        <f t="shared" si="17"/>
        <v>181.29062649026369</v>
      </c>
      <c r="I141" s="10">
        <f t="shared" si="18"/>
        <v>5.1999999999999975</v>
      </c>
      <c r="J141" s="60">
        <f t="shared" si="19"/>
        <v>12.39951821249282</v>
      </c>
      <c r="K141" s="61">
        <f t="shared" si="20"/>
        <v>52476.387250735694</v>
      </c>
      <c r="L141" s="10"/>
      <c r="M141" s="62">
        <f t="shared" si="21"/>
        <v>203.75771534989963</v>
      </c>
    </row>
    <row r="142" spans="3:13" x14ac:dyDescent="0.25">
      <c r="C142" s="10">
        <f t="shared" si="22"/>
        <v>5.2999999999999972</v>
      </c>
      <c r="D142" s="10">
        <f t="shared" si="23"/>
        <v>38.688698710473375</v>
      </c>
      <c r="E142" s="10">
        <f t="shared" si="15"/>
        <v>16.990316538516446</v>
      </c>
      <c r="F142" s="57">
        <f t="shared" si="16"/>
        <v>2.2771028793234938</v>
      </c>
      <c r="H142" s="27">
        <f t="shared" si="17"/>
        <v>188.85318528674321</v>
      </c>
      <c r="I142" s="10">
        <f t="shared" si="18"/>
        <v>5.2999999999999972</v>
      </c>
      <c r="J142" s="60">
        <f t="shared" si="19"/>
        <v>12.599508947348451</v>
      </c>
      <c r="K142" s="61">
        <f t="shared" si="20"/>
        <v>57909.840341815943</v>
      </c>
      <c r="L142" s="10"/>
      <c r="M142" s="62">
        <f t="shared" si="21"/>
        <v>212.34100955718543</v>
      </c>
    </row>
    <row r="143" spans="3:13" x14ac:dyDescent="0.25">
      <c r="C143" s="10">
        <f t="shared" si="22"/>
        <v>5.3999999999999968</v>
      </c>
      <c r="D143" s="10">
        <f t="shared" si="23"/>
        <v>39.958649141951</v>
      </c>
      <c r="E143" s="10">
        <f t="shared" si="15"/>
        <v>17.273152699620532</v>
      </c>
      <c r="F143" s="57">
        <f t="shared" si="16"/>
        <v>2.3133384991628563</v>
      </c>
      <c r="H143" s="27">
        <f t="shared" si="17"/>
        <v>196.59807275038656</v>
      </c>
      <c r="I143" s="10">
        <f t="shared" si="18"/>
        <v>5.3999999999999968</v>
      </c>
      <c r="J143" s="60">
        <f t="shared" si="19"/>
        <v>12.799499682204081</v>
      </c>
      <c r="K143" s="61">
        <f t="shared" si="20"/>
        <v>63801.720997874603</v>
      </c>
      <c r="L143" s="10"/>
      <c r="M143" s="62">
        <f t="shared" si="21"/>
        <v>221.13332879027436</v>
      </c>
    </row>
    <row r="144" spans="3:13" x14ac:dyDescent="0.25">
      <c r="C144" s="10">
        <f t="shared" si="22"/>
        <v>5.4999999999999964</v>
      </c>
      <c r="D144" s="10">
        <f t="shared" si="23"/>
        <v>41.248598646914182</v>
      </c>
      <c r="E144" s="10">
        <f t="shared" si="15"/>
        <v>17.555988860724611</v>
      </c>
      <c r="F144" s="57">
        <f t="shared" si="16"/>
        <v>2.349545729047112</v>
      </c>
      <c r="H144" s="27">
        <f t="shared" si="17"/>
        <v>204.5267019221869</v>
      </c>
      <c r="I144" s="10">
        <f t="shared" si="18"/>
        <v>5.4999999999999964</v>
      </c>
      <c r="J144" s="60">
        <f t="shared" si="19"/>
        <v>12.999490417059713</v>
      </c>
      <c r="K144" s="61">
        <f t="shared" si="20"/>
        <v>70182.29989843606</v>
      </c>
      <c r="L144" s="10"/>
      <c r="M144" s="62">
        <f t="shared" si="21"/>
        <v>230.13630591487504</v>
      </c>
    </row>
    <row r="145" spans="3:13" x14ac:dyDescent="0.25">
      <c r="C145" s="10">
        <f t="shared" si="22"/>
        <v>5.5999999999999961</v>
      </c>
      <c r="D145" s="10">
        <f t="shared" si="23"/>
        <v>42.558547225362929</v>
      </c>
      <c r="E145" s="10">
        <f t="shared" si="15"/>
        <v>17.838825021828697</v>
      </c>
      <c r="F145" s="57">
        <f t="shared" si="16"/>
        <v>2.3857259193520672</v>
      </c>
      <c r="H145" s="27">
        <f t="shared" si="17"/>
        <v>212.64047535005804</v>
      </c>
      <c r="I145" s="10">
        <f t="shared" si="18"/>
        <v>5.5999999999999961</v>
      </c>
      <c r="J145" s="60">
        <f t="shared" si="19"/>
        <v>13.199481151915343</v>
      </c>
      <c r="K145" s="61">
        <f t="shared" si="20"/>
        <v>77083.315019765956</v>
      </c>
      <c r="L145" s="10"/>
      <c r="M145" s="62">
        <f t="shared" si="21"/>
        <v>239.35156162964529</v>
      </c>
    </row>
    <row r="146" spans="3:13" x14ac:dyDescent="0.25">
      <c r="C146" s="10">
        <f t="shared" si="22"/>
        <v>5.6999999999999957</v>
      </c>
      <c r="D146" s="10">
        <f t="shared" si="23"/>
        <v>43.888494877297241</v>
      </c>
      <c r="E146" s="10">
        <f t="shared" si="15"/>
        <v>18.12166118293278</v>
      </c>
      <c r="F146" s="57">
        <f t="shared" si="16"/>
        <v>2.4218803361488739</v>
      </c>
      <c r="H146" s="27">
        <f t="shared" si="17"/>
        <v>220.94078530914175</v>
      </c>
      <c r="I146" s="10">
        <f t="shared" si="18"/>
        <v>5.6999999999999957</v>
      </c>
      <c r="J146" s="60">
        <f t="shared" si="19"/>
        <v>13.399471886770973</v>
      </c>
      <c r="K146" s="61">
        <f t="shared" si="20"/>
        <v>84538.018068750767</v>
      </c>
      <c r="L146" s="10"/>
      <c r="M146" s="62">
        <f t="shared" si="21"/>
        <v>248.78070472064221</v>
      </c>
    </row>
    <row r="147" spans="3:13" x14ac:dyDescent="0.25">
      <c r="C147" s="10">
        <f t="shared" si="22"/>
        <v>5.7999999999999954</v>
      </c>
      <c r="D147" s="10">
        <f t="shared" si="23"/>
        <v>45.238441602717117</v>
      </c>
      <c r="E147" s="10">
        <f t="shared" si="15"/>
        <v>18.404497344036862</v>
      </c>
      <c r="F147" s="57">
        <f t="shared" si="16"/>
        <v>2.4580101676818993</v>
      </c>
      <c r="H147" s="27">
        <f t="shared" si="17"/>
        <v>229.42901401510886</v>
      </c>
      <c r="I147" s="10">
        <f t="shared" si="18"/>
        <v>5.7999999999999954</v>
      </c>
      <c r="J147" s="60">
        <f t="shared" si="19"/>
        <v>13.599462621626603</v>
      </c>
      <c r="K147" s="61">
        <f t="shared" si="20"/>
        <v>92581.221636677597</v>
      </c>
      <c r="L147" s="10"/>
      <c r="M147" s="62">
        <f t="shared" si="21"/>
        <v>258.42533230781345</v>
      </c>
    </row>
    <row r="148" spans="3:13" x14ac:dyDescent="0.25">
      <c r="C148" s="10">
        <f t="shared" si="22"/>
        <v>5.899999999999995</v>
      </c>
      <c r="D148" s="10">
        <f t="shared" si="23"/>
        <v>46.608387401622551</v>
      </c>
      <c r="E148" s="10">
        <f t="shared" si="15"/>
        <v>18.687333505140945</v>
      </c>
      <c r="F148" s="57">
        <f t="shared" si="16"/>
        <v>2.4941165302583399</v>
      </c>
      <c r="H148" s="27">
        <f t="shared" si="17"/>
        <v>238.10653383071258</v>
      </c>
      <c r="I148" s="10">
        <f t="shared" si="18"/>
        <v>5.899999999999995</v>
      </c>
      <c r="J148" s="60">
        <f t="shared" si="19"/>
        <v>13.799453356482234</v>
      </c>
      <c r="K148" s="61">
        <f t="shared" si="20"/>
        <v>101249.34707291357</v>
      </c>
      <c r="L148" s="10"/>
      <c r="M148" s="62">
        <f t="shared" si="21"/>
        <v>268.28703008380734</v>
      </c>
    </row>
    <row r="149" spans="3:13" x14ac:dyDescent="0.25">
      <c r="C149" s="10">
        <f t="shared" si="22"/>
        <v>5.9999999999999947</v>
      </c>
      <c r="D149" s="10">
        <f t="shared" si="23"/>
        <v>47.998332274013549</v>
      </c>
      <c r="E149" s="10">
        <f t="shared" si="15"/>
        <v>18.970169666245027</v>
      </c>
      <c r="F149" s="57">
        <f t="shared" si="16"/>
        <v>2.5302004736109658</v>
      </c>
      <c r="H149" s="27">
        <f t="shared" si="17"/>
        <v>246.97470746584497</v>
      </c>
      <c r="I149" s="10">
        <f t="shared" si="18"/>
        <v>5.9999999999999947</v>
      </c>
      <c r="J149" s="60">
        <f t="shared" si="19"/>
        <v>13.999444091337866</v>
      </c>
      <c r="K149" s="61">
        <f t="shared" si="20"/>
        <v>110580.47307848564</v>
      </c>
      <c r="L149" s="10"/>
      <c r="M149" s="62">
        <f t="shared" si="21"/>
        <v>278.36737254537752</v>
      </c>
    </row>
    <row r="150" spans="3:13" x14ac:dyDescent="0.25">
      <c r="C150" s="10">
        <f t="shared" si="22"/>
        <v>6.0999999999999943</v>
      </c>
      <c r="D150" s="10">
        <f t="shared" si="23"/>
        <v>49.408276219890112</v>
      </c>
      <c r="E150" s="10">
        <f t="shared" si="15"/>
        <v>19.25300582734911</v>
      </c>
      <c r="F150" s="57">
        <f t="shared" si="16"/>
        <v>2.5662629857881778</v>
      </c>
      <c r="H150" s="27">
        <f t="shared" si="17"/>
        <v>256.03488817134127</v>
      </c>
      <c r="I150" s="10">
        <f t="shared" si="18"/>
        <v>6.0999999999999943</v>
      </c>
      <c r="J150" s="60">
        <f t="shared" si="19"/>
        <v>14.199434826193496</v>
      </c>
      <c r="K150" s="61">
        <f t="shared" si="20"/>
        <v>120614.38501955986</v>
      </c>
      <c r="L150" s="10"/>
      <c r="M150" s="62">
        <f t="shared" si="21"/>
        <v>288.66792321764893</v>
      </c>
    </row>
    <row r="151" spans="3:13" x14ac:dyDescent="0.25">
      <c r="C151" s="10">
        <f t="shared" si="22"/>
        <v>6.199999999999994</v>
      </c>
      <c r="D151" s="10">
        <f t="shared" si="23"/>
        <v>50.83821923925224</v>
      </c>
      <c r="E151" s="10">
        <f t="shared" si="15"/>
        <v>19.535841988453196</v>
      </c>
      <c r="F151" s="57">
        <f t="shared" si="16"/>
        <v>2.6023049976192758</v>
      </c>
      <c r="H151" s="27">
        <f t="shared" si="17"/>
        <v>265.28841992676746</v>
      </c>
      <c r="I151" s="10">
        <f t="shared" si="18"/>
        <v>6.199999999999994</v>
      </c>
      <c r="J151" s="60">
        <f t="shared" si="19"/>
        <v>14.399425561049126</v>
      </c>
      <c r="K151" s="61">
        <f t="shared" si="20"/>
        <v>131392.62496082089</v>
      </c>
      <c r="L151" s="10"/>
      <c r="M151" s="62">
        <f t="shared" si="21"/>
        <v>299.19023487150605</v>
      </c>
    </row>
    <row r="152" spans="3:13" x14ac:dyDescent="0.25">
      <c r="C152" s="10">
        <f t="shared" si="22"/>
        <v>6.2999999999999936</v>
      </c>
      <c r="D152" s="10">
        <f t="shared" si="23"/>
        <v>52.288161332099932</v>
      </c>
      <c r="E152" s="10">
        <f t="shared" si="15"/>
        <v>19.818678149557279</v>
      </c>
      <c r="F152" s="57">
        <f t="shared" si="16"/>
        <v>2.6383273867973873</v>
      </c>
      <c r="H152" s="27">
        <f t="shared" si="17"/>
        <v>274.73663762242188</v>
      </c>
      <c r="I152" s="10">
        <f t="shared" si="18"/>
        <v>6.2999999999999936</v>
      </c>
      <c r="J152" s="60">
        <f t="shared" si="19"/>
        <v>14.599416295904756</v>
      </c>
      <c r="K152" s="61">
        <f t="shared" si="20"/>
        <v>142958.54241875128</v>
      </c>
      <c r="L152" s="10"/>
      <c r="M152" s="62">
        <f t="shared" si="21"/>
        <v>309.93584973435702</v>
      </c>
    </row>
    <row r="153" spans="3:13" x14ac:dyDescent="0.25">
      <c r="C153" s="10">
        <f t="shared" si="22"/>
        <v>6.3999999999999932</v>
      </c>
      <c r="D153" s="10">
        <f t="shared" si="23"/>
        <v>53.758102498433189</v>
      </c>
      <c r="E153" s="10">
        <f t="shared" si="15"/>
        <v>20.101514310661361</v>
      </c>
      <c r="F153" s="57">
        <f t="shared" si="16"/>
        <v>2.6743309816176972</v>
      </c>
      <c r="H153" s="27">
        <f t="shared" si="17"/>
        <v>284.38086723576964</v>
      </c>
      <c r="I153" s="10">
        <f t="shared" si="18"/>
        <v>6.3999999999999932</v>
      </c>
      <c r="J153" s="60">
        <f t="shared" si="19"/>
        <v>14.799407030760387</v>
      </c>
      <c r="K153" s="61">
        <f t="shared" si="20"/>
        <v>155357.3458348109</v>
      </c>
      <c r="L153" s="10"/>
      <c r="M153" s="62">
        <f t="shared" si="21"/>
        <v>320.90629969451908</v>
      </c>
    </row>
    <row r="154" spans="3:13" x14ac:dyDescent="0.25">
      <c r="C154" s="10">
        <f t="shared" si="22"/>
        <v>6.4999999999999929</v>
      </c>
      <c r="D154" s="10">
        <f t="shared" ref="D154:D162" si="24">$B$89*C154+$C$88*C154^2</f>
        <v>55.248042738251996</v>
      </c>
      <c r="E154" s="10">
        <f t="shared" si="15"/>
        <v>20.384350471765444</v>
      </c>
      <c r="F154" s="57">
        <f t="shared" si="16"/>
        <v>2.7103165644044722</v>
      </c>
      <c r="H154" s="27">
        <f t="shared" si="17"/>
        <v>294.22242600252304</v>
      </c>
      <c r="I154" s="10">
        <f t="shared" si="18"/>
        <v>6.4999999999999929</v>
      </c>
      <c r="J154" s="60">
        <f t="shared" si="19"/>
        <v>14.999397765616017</v>
      </c>
      <c r="K154" s="61">
        <f t="shared" si="20"/>
        <v>168636.15476851587</v>
      </c>
      <c r="L154" s="10"/>
      <c r="M154" s="62">
        <f t="shared" si="21"/>
        <v>332.10310649946098</v>
      </c>
    </row>
    <row r="155" spans="3:13" x14ac:dyDescent="0.25">
      <c r="C155" s="10">
        <f t="shared" si="22"/>
        <v>6.5999999999999925</v>
      </c>
      <c r="D155" s="10">
        <f t="shared" si="24"/>
        <v>56.757982051556382</v>
      </c>
      <c r="E155" s="10">
        <f t="shared" ref="E155:E162" si="25">$B$89+2*C155/COS($B$88*3.1415/180)</f>
        <v>20.667186632869527</v>
      </c>
      <c r="F155" s="57">
        <f t="shared" ref="F155:F162" si="26">D155/E155</f>
        <v>2.7462848746566841</v>
      </c>
      <c r="H155" s="27">
        <f t="shared" ref="H155:H162" si="27">(($B$91*8*9.81*F155*D155^2)/$B$95)^0.5</f>
        <v>304.26262258257344</v>
      </c>
      <c r="I155" s="10">
        <f t="shared" ref="I155:I188" si="28">C155</f>
        <v>6.5999999999999925</v>
      </c>
      <c r="J155" s="60">
        <f t="shared" ref="J155:J162" si="29">$B$89+2*C155*TAN($B$88*3.1415/180)</f>
        <v>15.199388500471649</v>
      </c>
      <c r="K155" s="61">
        <f t="shared" ref="K155:K162" si="30">D155^3</f>
        <v>182844.05281041851</v>
      </c>
      <c r="L155" s="10"/>
      <c r="M155" s="62">
        <f t="shared" ref="M155:M162" si="31">SQRT(9.81*K155/J155)</f>
        <v>343.52778194813322</v>
      </c>
    </row>
    <row r="156" spans="3:13" x14ac:dyDescent="0.25">
      <c r="C156" s="10">
        <f t="shared" ref="C156:C188" si="32">C155+$B$98</f>
        <v>6.6999999999999922</v>
      </c>
      <c r="D156" s="10">
        <f t="shared" si="24"/>
        <v>58.287920438346312</v>
      </c>
      <c r="E156" s="10">
        <f t="shared" si="25"/>
        <v>20.950022793973609</v>
      </c>
      <c r="F156" s="57">
        <f t="shared" si="26"/>
        <v>2.782236611938826</v>
      </c>
      <c r="H156" s="27">
        <f t="shared" si="27"/>
        <v>314.50275722096887</v>
      </c>
      <c r="I156" s="10">
        <f t="shared" si="28"/>
        <v>6.6999999999999922</v>
      </c>
      <c r="J156" s="60">
        <f t="shared" si="29"/>
        <v>15.399379235327279</v>
      </c>
      <c r="K156" s="61">
        <f t="shared" si="30"/>
        <v>198032.1412149852</v>
      </c>
      <c r="L156" s="10"/>
      <c r="M156" s="62">
        <f t="shared" si="31"/>
        <v>355.18182807760365</v>
      </c>
    </row>
    <row r="157" spans="3:13" x14ac:dyDescent="0.25">
      <c r="C157" s="10">
        <f t="shared" si="32"/>
        <v>6.7999999999999918</v>
      </c>
      <c r="D157" s="10">
        <f t="shared" si="24"/>
        <v>59.83785789862182</v>
      </c>
      <c r="E157" s="10">
        <f t="shared" si="25"/>
        <v>21.232858955077692</v>
      </c>
      <c r="F157" s="57">
        <f t="shared" si="26"/>
        <v>2.8181724385406897</v>
      </c>
      <c r="H157" s="27">
        <f t="shared" si="27"/>
        <v>324.94412190412845</v>
      </c>
      <c r="I157" s="10">
        <f t="shared" si="28"/>
        <v>6.7999999999999918</v>
      </c>
      <c r="J157" s="60">
        <f t="shared" si="29"/>
        <v>15.599369970182909</v>
      </c>
      <c r="K157" s="61">
        <f t="shared" si="30"/>
        <v>214253.59325337701</v>
      </c>
      <c r="L157" s="10"/>
      <c r="M157" s="62">
        <f t="shared" si="31"/>
        <v>367.06673734421429</v>
      </c>
    </row>
    <row r="158" spans="3:13" x14ac:dyDescent="0.25">
      <c r="C158" s="10">
        <f t="shared" si="32"/>
        <v>6.8999999999999915</v>
      </c>
      <c r="D158" s="10">
        <f t="shared" si="24"/>
        <v>61.407794432382893</v>
      </c>
      <c r="E158" s="10">
        <f t="shared" si="25"/>
        <v>21.515695116181774</v>
      </c>
      <c r="F158" s="57">
        <f t="shared" si="26"/>
        <v>2.8540929819273466</v>
      </c>
      <c r="H158" s="27">
        <f t="shared" si="27"/>
        <v>335.58800051147188</v>
      </c>
      <c r="I158" s="10">
        <f t="shared" si="28"/>
        <v>6.8999999999999915</v>
      </c>
      <c r="J158" s="60">
        <f t="shared" si="29"/>
        <v>15.79936070503854</v>
      </c>
      <c r="K158" s="61">
        <f t="shared" si="30"/>
        <v>231563.70928612721</v>
      </c>
      <c r="L158" s="10"/>
      <c r="M158" s="62">
        <f t="shared" si="31"/>
        <v>379.18399279945839</v>
      </c>
    </row>
    <row r="159" spans="3:13" x14ac:dyDescent="0.25">
      <c r="C159" s="10">
        <f t="shared" si="32"/>
        <v>6.9999999999999911</v>
      </c>
      <c r="D159" s="10">
        <f t="shared" si="24"/>
        <v>62.997730039629516</v>
      </c>
      <c r="E159" s="10">
        <f t="shared" si="25"/>
        <v>21.798531277285861</v>
      </c>
      <c r="F159" s="57">
        <f t="shared" si="26"/>
        <v>2.889998836998406</v>
      </c>
      <c r="H159" s="27">
        <f t="shared" si="27"/>
        <v>346.43566896263991</v>
      </c>
      <c r="I159" s="10">
        <f t="shared" si="28"/>
        <v>6.9999999999999911</v>
      </c>
      <c r="J159" s="60">
        <f t="shared" si="29"/>
        <v>15.99935143989417</v>
      </c>
      <c r="K159" s="61">
        <f t="shared" si="30"/>
        <v>250019.97255572106</v>
      </c>
      <c r="L159" s="10"/>
      <c r="M159" s="62">
        <f t="shared" si="31"/>
        <v>391.53506826077825</v>
      </c>
    </row>
    <row r="160" spans="3:13" x14ac:dyDescent="0.25">
      <c r="C160" s="10">
        <f t="shared" si="32"/>
        <v>7.0999999999999908</v>
      </c>
      <c r="D160" s="10">
        <f t="shared" si="24"/>
        <v>64.607664720361711</v>
      </c>
      <c r="E160" s="10">
        <f t="shared" si="25"/>
        <v>22.081367438389943</v>
      </c>
      <c r="F160" s="57">
        <f t="shared" si="26"/>
        <v>2.9258905681736422</v>
      </c>
      <c r="H160" s="27">
        <f t="shared" si="27"/>
        <v>357.48839536047035</v>
      </c>
      <c r="I160" s="10">
        <f t="shared" si="28"/>
        <v>7.0999999999999908</v>
      </c>
      <c r="J160" s="60">
        <f t="shared" si="29"/>
        <v>16.199342174749802</v>
      </c>
      <c r="K160" s="61">
        <f t="shared" si="30"/>
        <v>269682.10569907475</v>
      </c>
      <c r="L160" s="10"/>
      <c r="M160" s="62">
        <f t="shared" si="31"/>
        <v>404.12142847746964</v>
      </c>
    </row>
    <row r="161" spans="3:13" x14ac:dyDescent="0.25">
      <c r="C161" s="10">
        <f t="shared" si="32"/>
        <v>7.1999999999999904</v>
      </c>
      <c r="D161" s="10">
        <f t="shared" si="24"/>
        <v>66.237598474579471</v>
      </c>
      <c r="E161" s="10">
        <f t="shared" si="25"/>
        <v>22.364203599494026</v>
      </c>
      <c r="F161" s="57">
        <f t="shared" si="26"/>
        <v>2.9617687113203552</v>
      </c>
      <c r="H161" s="27">
        <f t="shared" si="27"/>
        <v>368.74744012988907</v>
      </c>
      <c r="I161" s="10">
        <f t="shared" si="28"/>
        <v>7.1999999999999904</v>
      </c>
      <c r="J161" s="60">
        <f t="shared" si="29"/>
        <v>16.399332909605434</v>
      </c>
      <c r="K161" s="61">
        <f t="shared" si="30"/>
        <v>290612.12797991378</v>
      </c>
      <c r="L161" s="10"/>
      <c r="M161" s="62">
        <f t="shared" si="31"/>
        <v>416.94452929187281</v>
      </c>
    </row>
    <row r="162" spans="3:13" x14ac:dyDescent="0.25">
      <c r="C162" s="10">
        <f t="shared" si="32"/>
        <v>7.2999999999999901</v>
      </c>
      <c r="D162" s="10">
        <f t="shared" si="24"/>
        <v>67.887531302282781</v>
      </c>
      <c r="E162" s="10">
        <f t="shared" si="25"/>
        <v>22.647039760598108</v>
      </c>
      <c r="F162" s="57">
        <f t="shared" si="26"/>
        <v>2.9976337755363165</v>
      </c>
      <c r="H162" s="27">
        <f t="shared" si="27"/>
        <v>380.21405615286852</v>
      </c>
      <c r="I162" s="10">
        <f t="shared" si="28"/>
        <v>7.2999999999999901</v>
      </c>
      <c r="J162" s="60">
        <f t="shared" si="29"/>
        <v>16.599323644461062</v>
      </c>
      <c r="K162" s="61">
        <f t="shared" si="30"/>
        <v>312874.41324105189</v>
      </c>
      <c r="L162" s="10"/>
      <c r="M162" s="62">
        <f t="shared" si="31"/>
        <v>430.0058177960247</v>
      </c>
    </row>
    <row r="163" spans="3:13" x14ac:dyDescent="0.25">
      <c r="C163" s="10">
        <f t="shared" si="32"/>
        <v>7.3999999999999897</v>
      </c>
      <c r="D163" s="10">
        <f t="shared" ref="D163:D188" si="33">$B$89*C163+$C$88*C163^2</f>
        <v>69.55746320347167</v>
      </c>
      <c r="E163" s="10">
        <f t="shared" ref="E163:E188" si="34">$B$89+2*C163/COS($B$88*3.1415/180)</f>
        <v>22.929875921702191</v>
      </c>
      <c r="F163" s="57">
        <f t="shared" ref="F163:F188" si="35">D163/E163</f>
        <v>3.0334862448007569</v>
      </c>
      <c r="H163" s="27">
        <f t="shared" ref="H163:H188" si="36">(($B$91*8*9.81*F163*D163^2)/$B$95)^0.5</f>
        <v>391.88948889960039</v>
      </c>
      <c r="I163" s="10">
        <f t="shared" si="28"/>
        <v>7.3999999999999897</v>
      </c>
      <c r="J163" s="60">
        <f t="shared" ref="J163:J188" si="37">$B$89+2*C163*TAN($B$88*3.1415/180)</f>
        <v>16.799314379316691</v>
      </c>
      <c r="K163" s="61">
        <f t="shared" ref="K163:K188" si="38">D163^3</f>
        <v>336535.7485765703</v>
      </c>
      <c r="L163" s="10"/>
      <c r="M163" s="62">
        <f t="shared" ref="M163:M188" si="39">SQRT(9.81*K163/J163)</f>
        <v>443.30673248393742</v>
      </c>
    </row>
    <row r="164" spans="3:13" x14ac:dyDescent="0.25">
      <c r="C164" s="10">
        <f t="shared" si="32"/>
        <v>7.4999999999999893</v>
      </c>
      <c r="D164" s="10">
        <f t="shared" si="33"/>
        <v>71.247394178146124</v>
      </c>
      <c r="E164" s="10">
        <f t="shared" si="34"/>
        <v>23.212712082806274</v>
      </c>
      <c r="F164" s="57">
        <f t="shared" si="35"/>
        <v>3.0693265795046538</v>
      </c>
      <c r="H164" s="27">
        <f t="shared" si="36"/>
        <v>403.77497655602048</v>
      </c>
      <c r="I164" s="10">
        <f t="shared" si="28"/>
        <v>7.4999999999999893</v>
      </c>
      <c r="J164" s="60">
        <f t="shared" si="37"/>
        <v>16.999305114172323</v>
      </c>
      <c r="K164" s="61">
        <f t="shared" si="38"/>
        <v>361665.39372389531</v>
      </c>
      <c r="L164" s="10"/>
      <c r="M164" s="62">
        <f t="shared" si="39"/>
        <v>456.84870339966221</v>
      </c>
    </row>
    <row r="165" spans="3:13" x14ac:dyDescent="0.25">
      <c r="C165" s="10">
        <f t="shared" si="32"/>
        <v>7.599999999999989</v>
      </c>
      <c r="D165" s="10">
        <f t="shared" si="33"/>
        <v>72.957324226306113</v>
      </c>
      <c r="E165" s="10">
        <f t="shared" si="34"/>
        <v>23.495548243910356</v>
      </c>
      <c r="F165" s="57">
        <f t="shared" si="35"/>
        <v>3.1051552178704918</v>
      </c>
      <c r="H165" s="27">
        <f t="shared" si="36"/>
        <v>415.87175014782099</v>
      </c>
      <c r="I165" s="10">
        <f t="shared" si="28"/>
        <v>7.599999999999989</v>
      </c>
      <c r="J165" s="60">
        <f t="shared" si="37"/>
        <v>17.199295849027955</v>
      </c>
      <c r="K165" s="61">
        <f t="shared" si="38"/>
        <v>388335.14117577742</v>
      </c>
      <c r="L165" s="10"/>
      <c r="M165" s="62">
        <f t="shared" si="39"/>
        <v>470.63315228129233</v>
      </c>
    </row>
    <row r="166" spans="3:13" x14ac:dyDescent="0.25">
      <c r="C166" s="10">
        <f t="shared" si="32"/>
        <v>7.6999999999999886</v>
      </c>
      <c r="D166" s="10">
        <f t="shared" si="33"/>
        <v>74.687253347951682</v>
      </c>
      <c r="E166" s="10">
        <f t="shared" si="34"/>
        <v>23.778384405014442</v>
      </c>
      <c r="F166" s="57">
        <f t="shared" si="35"/>
        <v>3.140972577270702</v>
      </c>
      <c r="H166" s="27">
        <f t="shared" si="36"/>
        <v>428.1810336610784</v>
      </c>
      <c r="I166" s="10">
        <f t="shared" si="28"/>
        <v>7.6999999999999886</v>
      </c>
      <c r="J166" s="60">
        <f t="shared" si="37"/>
        <v>17.399286583883583</v>
      </c>
      <c r="K166" s="61">
        <f t="shared" si="38"/>
        <v>416619.37701217079</v>
      </c>
      <c r="L166" s="10"/>
      <c r="M166" s="62">
        <f t="shared" si="39"/>
        <v>484.66149270105058</v>
      </c>
    </row>
    <row r="167" spans="3:13" x14ac:dyDescent="0.25">
      <c r="C167" s="10">
        <f t="shared" si="32"/>
        <v>7.7999999999999883</v>
      </c>
      <c r="D167" s="10">
        <f t="shared" si="33"/>
        <v>76.437181543082829</v>
      </c>
      <c r="E167" s="10">
        <f t="shared" si="34"/>
        <v>24.061220566118525</v>
      </c>
      <c r="F167" s="57">
        <f t="shared" si="35"/>
        <v>3.176779055453105</v>
      </c>
      <c r="H167" s="27">
        <f t="shared" si="36"/>
        <v>440.70404415961758</v>
      </c>
      <c r="I167" s="10">
        <f t="shared" si="28"/>
        <v>7.7999999999999883</v>
      </c>
      <c r="J167" s="60">
        <f t="shared" si="37"/>
        <v>17.599277318739215</v>
      </c>
      <c r="K167" s="61">
        <f t="shared" si="38"/>
        <v>446595.14245201042</v>
      </c>
      <c r="L167" s="10"/>
      <c r="M167" s="62">
        <f t="shared" si="39"/>
        <v>498.93513020159958</v>
      </c>
    </row>
    <row r="168" spans="3:13" x14ac:dyDescent="0.25">
      <c r="C168" s="10">
        <f t="shared" si="32"/>
        <v>7.8999999999999879</v>
      </c>
      <c r="D168" s="10">
        <f t="shared" si="33"/>
        <v>78.207108811699527</v>
      </c>
      <c r="E168" s="10">
        <f t="shared" si="34"/>
        <v>24.344056727222608</v>
      </c>
      <c r="F168" s="57">
        <f t="shared" si="35"/>
        <v>3.2125750316809301</v>
      </c>
      <c r="H168" s="27">
        <f t="shared" si="36"/>
        <v>453.44199189923029</v>
      </c>
      <c r="I168" s="10">
        <f t="shared" si="28"/>
        <v>7.8999999999999879</v>
      </c>
      <c r="J168" s="60">
        <f t="shared" si="37"/>
        <v>17.799268053594844</v>
      </c>
      <c r="K168" s="61">
        <f t="shared" si="38"/>
        <v>478342.19612489035</v>
      </c>
      <c r="L168" s="10"/>
      <c r="M168" s="62">
        <f t="shared" si="39"/>
        <v>513.45546242871296</v>
      </c>
    </row>
    <row r="169" spans="3:13" x14ac:dyDescent="0.25">
      <c r="C169" s="10">
        <f t="shared" si="32"/>
        <v>7.9999999999999876</v>
      </c>
      <c r="D169" s="10">
        <f t="shared" si="33"/>
        <v>79.997035153801775</v>
      </c>
      <c r="E169" s="10">
        <f t="shared" si="34"/>
        <v>24.62689288832669</v>
      </c>
      <c r="F169" s="57">
        <f t="shared" si="35"/>
        <v>3.2483608677942843</v>
      </c>
      <c r="H169" s="27">
        <f t="shared" si="36"/>
        <v>466.39608043886301</v>
      </c>
      <c r="I169" s="10">
        <f t="shared" si="28"/>
        <v>7.9999999999999876</v>
      </c>
      <c r="J169" s="60">
        <f t="shared" si="37"/>
        <v>17.999258788450476</v>
      </c>
      <c r="K169" s="61">
        <f t="shared" si="38"/>
        <v>511943.07706264313</v>
      </c>
      <c r="L169" s="10"/>
      <c r="M169" s="62">
        <f t="shared" si="39"/>
        <v>528.2238792604337</v>
      </c>
    </row>
    <row r="170" spans="3:13" x14ac:dyDescent="0.25">
      <c r="C170" s="10">
        <f t="shared" si="32"/>
        <v>8.0999999999999872</v>
      </c>
      <c r="D170" s="10">
        <f t="shared" si="33"/>
        <v>81.806960569389588</v>
      </c>
      <c r="E170" s="10">
        <f t="shared" si="34"/>
        <v>24.909729049430773</v>
      </c>
      <c r="F170" s="57">
        <f t="shared" si="35"/>
        <v>3.2841369091992996</v>
      </c>
      <c r="H170" s="27">
        <f t="shared" si="36"/>
        <v>479.56750674887689</v>
      </c>
      <c r="I170" s="10">
        <f t="shared" si="28"/>
        <v>8.0999999999999872</v>
      </c>
      <c r="J170" s="60">
        <f t="shared" si="37"/>
        <v>18.199249523306108</v>
      </c>
      <c r="K170" s="61">
        <f t="shared" si="38"/>
        <v>547483.16841081809</v>
      </c>
      <c r="L170" s="10"/>
      <c r="M170" s="62">
        <f t="shared" si="39"/>
        <v>543.24176293284302</v>
      </c>
    </row>
    <row r="171" spans="3:13" x14ac:dyDescent="0.25">
      <c r="C171" s="10">
        <f t="shared" si="32"/>
        <v>8.1999999999999869</v>
      </c>
      <c r="D171" s="10">
        <f t="shared" si="33"/>
        <v>83.636885058462994</v>
      </c>
      <c r="E171" s="10">
        <f t="shared" si="34"/>
        <v>25.192565210534855</v>
      </c>
      <c r="F171" s="57">
        <f t="shared" si="35"/>
        <v>3.3199034857906526</v>
      </c>
      <c r="H171" s="27">
        <f t="shared" si="36"/>
        <v>492.9574613164865</v>
      </c>
      <c r="I171" s="10">
        <f t="shared" si="28"/>
        <v>8.1999999999999869</v>
      </c>
      <c r="J171" s="60">
        <f t="shared" si="37"/>
        <v>18.399240258161736</v>
      </c>
      <c r="K171" s="61">
        <f t="shared" si="38"/>
        <v>585050.76186005946</v>
      </c>
      <c r="L171" s="10"/>
      <c r="M171" s="62">
        <f t="shared" si="39"/>
        <v>558.51048816255866</v>
      </c>
    </row>
    <row r="172" spans="3:13" x14ac:dyDescent="0.25">
      <c r="C172" s="10">
        <f t="shared" si="32"/>
        <v>8.2999999999999865</v>
      </c>
      <c r="D172" s="10">
        <f t="shared" si="33"/>
        <v>85.486808621021936</v>
      </c>
      <c r="E172" s="10">
        <f t="shared" si="34"/>
        <v>25.475401371638938</v>
      </c>
      <c r="F172" s="57">
        <f t="shared" si="35"/>
        <v>3.3556609128126258</v>
      </c>
      <c r="H172" s="27">
        <f t="shared" si="36"/>
        <v>506.56712824847278</v>
      </c>
      <c r="I172" s="10">
        <f t="shared" si="28"/>
        <v>8.2999999999999865</v>
      </c>
      <c r="J172" s="60">
        <f t="shared" si="37"/>
        <v>18.599230993017368</v>
      </c>
      <c r="K172" s="61">
        <f t="shared" si="38"/>
        <v>624737.1227973823</v>
      </c>
      <c r="L172" s="10"/>
      <c r="M172" s="62">
        <f t="shared" si="39"/>
        <v>574.03142226607383</v>
      </c>
    </row>
    <row r="173" spans="3:13" x14ac:dyDescent="0.25">
      <c r="C173" s="10">
        <f t="shared" si="32"/>
        <v>8.3999999999999861</v>
      </c>
      <c r="D173" s="10">
        <f t="shared" si="33"/>
        <v>87.356731257066443</v>
      </c>
      <c r="E173" s="10">
        <f t="shared" si="34"/>
        <v>25.758237532743021</v>
      </c>
      <c r="F173" s="57">
        <f t="shared" si="35"/>
        <v>3.3914094916634516</v>
      </c>
      <c r="H173" s="27">
        <f t="shared" si="36"/>
        <v>520.39768537126986</v>
      </c>
      <c r="I173" s="10">
        <f t="shared" si="28"/>
        <v>8.3999999999999861</v>
      </c>
      <c r="J173" s="60">
        <f t="shared" si="37"/>
        <v>18.799221727872997</v>
      </c>
      <c r="K173" s="61">
        <f t="shared" si="38"/>
        <v>666636.55617735453</v>
      </c>
      <c r="L173" s="10"/>
      <c r="M173" s="62">
        <f t="shared" si="39"/>
        <v>589.80592527605131</v>
      </c>
    </row>
    <row r="174" spans="3:13" x14ac:dyDescent="0.25">
      <c r="C174" s="10">
        <f t="shared" si="32"/>
        <v>8.4999999999999858</v>
      </c>
      <c r="D174" s="10">
        <f t="shared" si="33"/>
        <v>89.246652966596528</v>
      </c>
      <c r="E174" s="10">
        <f t="shared" si="34"/>
        <v>26.041073693847107</v>
      </c>
      <c r="F174" s="57">
        <f t="shared" si="35"/>
        <v>3.4271495106472285</v>
      </c>
      <c r="H174" s="27">
        <f t="shared" si="36"/>
        <v>534.45030432850945</v>
      </c>
      <c r="I174" s="10">
        <f t="shared" si="28"/>
        <v>8.4999999999999858</v>
      </c>
      <c r="J174" s="60">
        <f t="shared" si="37"/>
        <v>18.999212462728629</v>
      </c>
      <c r="K174" s="61">
        <f t="shared" si="38"/>
        <v>710846.47311317257</v>
      </c>
      <c r="L174" s="10"/>
      <c r="M174" s="62">
        <f t="shared" si="39"/>
        <v>605.8353500546682</v>
      </c>
    </row>
    <row r="175" spans="3:13" x14ac:dyDescent="0.25">
      <c r="C175" s="10">
        <f t="shared" si="32"/>
        <v>8.5999999999999854</v>
      </c>
      <c r="D175" s="10">
        <f t="shared" si="33"/>
        <v>91.156573749612164</v>
      </c>
      <c r="E175" s="10">
        <f t="shared" si="34"/>
        <v>26.323909854951189</v>
      </c>
      <c r="F175" s="57">
        <f t="shared" si="35"/>
        <v>3.4628812456773699</v>
      </c>
      <c r="H175" s="27">
        <f t="shared" si="36"/>
        <v>548.72615067611412</v>
      </c>
      <c r="I175" s="10">
        <f t="shared" si="28"/>
        <v>8.5999999999999854</v>
      </c>
      <c r="J175" s="60">
        <f t="shared" si="37"/>
        <v>19.199203197584261</v>
      </c>
      <c r="K175" s="61">
        <f t="shared" si="38"/>
        <v>757467.45818763913</v>
      </c>
      <c r="L175" s="10"/>
      <c r="M175" s="62">
        <f t="shared" si="39"/>
        <v>622.12104240411827</v>
      </c>
    </row>
    <row r="176" spans="3:13" x14ac:dyDescent="0.25">
      <c r="C176" s="10">
        <f t="shared" si="32"/>
        <v>8.6999999999999851</v>
      </c>
      <c r="D176" s="10">
        <f t="shared" si="33"/>
        <v>93.086493606113351</v>
      </c>
      <c r="E176" s="10">
        <f t="shared" si="34"/>
        <v>26.606746016055272</v>
      </c>
      <c r="F176" s="57">
        <f t="shared" si="35"/>
        <v>3.4986049609351815</v>
      </c>
      <c r="H176" s="27">
        <f t="shared" si="36"/>
        <v>563.22638397502203</v>
      </c>
      <c r="I176" s="10">
        <f t="shared" si="28"/>
        <v>8.6999999999999851</v>
      </c>
      <c r="J176" s="60">
        <f t="shared" si="37"/>
        <v>19.399193932439889</v>
      </c>
      <c r="K176" s="61">
        <f t="shared" si="38"/>
        <v>806603.33748404193</v>
      </c>
      <c r="L176" s="10"/>
      <c r="M176" s="62">
        <f t="shared" si="39"/>
        <v>638.66434117436427</v>
      </c>
    </row>
    <row r="177" spans="3:13" x14ac:dyDescent="0.25">
      <c r="C177" s="10">
        <f t="shared" si="32"/>
        <v>8.7999999999999847</v>
      </c>
      <c r="D177" s="10">
        <f t="shared" si="33"/>
        <v>95.036412536100116</v>
      </c>
      <c r="E177" s="10">
        <f t="shared" si="34"/>
        <v>26.889582177159355</v>
      </c>
      <c r="F177" s="57">
        <f t="shared" si="35"/>
        <v>3.5343209094868824</v>
      </c>
      <c r="H177" s="27">
        <f t="shared" si="36"/>
        <v>577.95215788162182</v>
      </c>
      <c r="I177" s="10">
        <f t="shared" si="28"/>
        <v>8.7999999999999847</v>
      </c>
      <c r="J177" s="60">
        <f t="shared" si="37"/>
        <v>19.599184667295521</v>
      </c>
      <c r="K177" s="61">
        <f t="shared" si="38"/>
        <v>858361.24733693281</v>
      </c>
      <c r="L177" s="10"/>
      <c r="M177" s="62">
        <f t="shared" si="39"/>
        <v>655.46657836823374</v>
      </c>
    </row>
    <row r="178" spans="3:13" x14ac:dyDescent="0.25">
      <c r="C178" s="10">
        <f t="shared" si="32"/>
        <v>8.8999999999999844</v>
      </c>
      <c r="D178" s="10">
        <f t="shared" si="33"/>
        <v>97.006330539572446</v>
      </c>
      <c r="E178" s="10">
        <f t="shared" si="34"/>
        <v>27.172418338263437</v>
      </c>
      <c r="F178" s="57">
        <f t="shared" si="35"/>
        <v>3.5700293338620823</v>
      </c>
      <c r="H178" s="27">
        <f t="shared" si="36"/>
        <v>592.90462023597286</v>
      </c>
      <c r="I178" s="10">
        <f t="shared" si="28"/>
        <v>8.8999999999999844</v>
      </c>
      <c r="J178" s="60">
        <f t="shared" si="37"/>
        <v>19.79917540215115</v>
      </c>
      <c r="K178" s="61">
        <f t="shared" si="38"/>
        <v>912851.70380280283</v>
      </c>
      <c r="L178" s="10"/>
      <c r="M178" s="62">
        <f t="shared" si="39"/>
        <v>672.52907924394401</v>
      </c>
    </row>
    <row r="179" spans="3:13" x14ac:dyDescent="0.25">
      <c r="C179" s="10">
        <f t="shared" si="32"/>
        <v>8.999999999999984</v>
      </c>
      <c r="D179" s="10">
        <f t="shared" si="33"/>
        <v>98.99624761653034</v>
      </c>
      <c r="E179" s="10">
        <f t="shared" si="34"/>
        <v>27.45525449936752</v>
      </c>
      <c r="F179" s="57">
        <f t="shared" si="35"/>
        <v>3.6057304665965084</v>
      </c>
      <c r="H179" s="27">
        <f t="shared" si="36"/>
        <v>608.08491314788762</v>
      </c>
      <c r="I179" s="10">
        <f t="shared" si="28"/>
        <v>8.999999999999984</v>
      </c>
      <c r="J179" s="60">
        <f t="shared" si="37"/>
        <v>19.999166137006782</v>
      </c>
      <c r="K179" s="61">
        <f t="shared" si="38"/>
        <v>970188.67285066214</v>
      </c>
      <c r="L179" s="10"/>
      <c r="M179" s="62">
        <f t="shared" si="39"/>
        <v>689.85316241514386</v>
      </c>
    </row>
    <row r="180" spans="3:13" x14ac:dyDescent="0.25">
      <c r="C180" s="10">
        <f t="shared" si="32"/>
        <v>9.0999999999999837</v>
      </c>
      <c r="D180" s="10">
        <f t="shared" si="33"/>
        <v>101.0061637669738</v>
      </c>
      <c r="E180" s="10">
        <f t="shared" si="34"/>
        <v>27.738090660471602</v>
      </c>
      <c r="F180" s="57">
        <f t="shared" si="35"/>
        <v>3.6414245307415292</v>
      </c>
      <c r="H180" s="27">
        <f t="shared" si="36"/>
        <v>623.49417308094348</v>
      </c>
      <c r="I180" s="10">
        <f t="shared" si="28"/>
        <v>9.0999999999999837</v>
      </c>
      <c r="J180" s="60">
        <f t="shared" si="37"/>
        <v>20.19915687186241</v>
      </c>
      <c r="K180" s="61">
        <f t="shared" si="38"/>
        <v>1030489.6412725165</v>
      </c>
      <c r="L180" s="10"/>
      <c r="M180" s="62">
        <f t="shared" si="39"/>
        <v>707.44013994855163</v>
      </c>
    </row>
    <row r="181" spans="3:13" x14ac:dyDescent="0.25">
      <c r="C181" s="10">
        <f t="shared" si="32"/>
        <v>9.1999999999999833</v>
      </c>
      <c r="D181" s="10">
        <f t="shared" si="33"/>
        <v>103.03607899090279</v>
      </c>
      <c r="E181" s="10">
        <f t="shared" si="34"/>
        <v>28.020926821575685</v>
      </c>
      <c r="F181" s="57">
        <f t="shared" si="35"/>
        <v>3.6771117403428137</v>
      </c>
      <c r="H181" s="27">
        <f t="shared" si="36"/>
        <v>639.13353093449189</v>
      </c>
      <c r="I181" s="10">
        <f t="shared" si="28"/>
        <v>9.1999999999999833</v>
      </c>
      <c r="J181" s="60">
        <f t="shared" si="37"/>
        <v>20.399147606718042</v>
      </c>
      <c r="K181" s="61">
        <f t="shared" si="38"/>
        <v>1093875.6883137447</v>
      </c>
      <c r="L181" s="10"/>
      <c r="M181" s="62">
        <f t="shared" si="39"/>
        <v>725.29131745926747</v>
      </c>
    </row>
    <row r="182" spans="3:13" x14ac:dyDescent="0.25">
      <c r="C182" s="10">
        <f t="shared" si="32"/>
        <v>9.2999999999999829</v>
      </c>
      <c r="D182" s="10">
        <f t="shared" si="33"/>
        <v>105.08599328831738</v>
      </c>
      <c r="E182" s="10">
        <f t="shared" si="34"/>
        <v>28.303762982679771</v>
      </c>
      <c r="F182" s="57">
        <f t="shared" si="35"/>
        <v>3.7127923008903019</v>
      </c>
      <c r="H182" s="27">
        <f t="shared" si="36"/>
        <v>655.00411212373183</v>
      </c>
      <c r="I182" s="10">
        <f t="shared" si="28"/>
        <v>9.2999999999999829</v>
      </c>
      <c r="J182" s="60">
        <f t="shared" si="37"/>
        <v>20.599138341573674</v>
      </c>
      <c r="K182" s="61">
        <f t="shared" si="38"/>
        <v>1160471.5580233799</v>
      </c>
      <c r="L182" s="10"/>
      <c r="M182" s="62">
        <f t="shared" si="39"/>
        <v>743.40799420383632</v>
      </c>
    </row>
    <row r="183" spans="3:13" x14ac:dyDescent="0.25">
      <c r="C183" s="10">
        <f t="shared" si="32"/>
        <v>9.3999999999999826</v>
      </c>
      <c r="D183" s="10">
        <f t="shared" si="33"/>
        <v>107.15590665921754</v>
      </c>
      <c r="E183" s="10">
        <f t="shared" si="34"/>
        <v>28.586599143783854</v>
      </c>
      <c r="F183" s="57">
        <f t="shared" si="35"/>
        <v>3.7484664097414524</v>
      </c>
      <c r="H183" s="27">
        <f t="shared" si="36"/>
        <v>671.10703665790606</v>
      </c>
      <c r="I183" s="10">
        <f t="shared" si="28"/>
        <v>9.3999999999999826</v>
      </c>
      <c r="J183" s="60">
        <f t="shared" si="37"/>
        <v>20.799129076429303</v>
      </c>
      <c r="K183" s="61">
        <f t="shared" si="38"/>
        <v>1230405.7323242808</v>
      </c>
      <c r="L183" s="10"/>
      <c r="M183" s="62">
        <f t="shared" si="39"/>
        <v>761.79146317112907</v>
      </c>
    </row>
    <row r="184" spans="3:13" x14ac:dyDescent="0.25">
      <c r="C184" s="10">
        <f t="shared" si="32"/>
        <v>9.4999999999999822</v>
      </c>
      <c r="D184" s="10">
        <f t="shared" si="33"/>
        <v>109.24581910360322</v>
      </c>
      <c r="E184" s="10">
        <f t="shared" si="34"/>
        <v>28.869435304887936</v>
      </c>
      <c r="F184" s="57">
        <f t="shared" si="35"/>
        <v>3.7841342565196148</v>
      </c>
      <c r="H184" s="27">
        <f t="shared" si="36"/>
        <v>687.44341921668251</v>
      </c>
      <c r="I184" s="10">
        <f t="shared" si="28"/>
        <v>9.4999999999999822</v>
      </c>
      <c r="J184" s="60">
        <f t="shared" si="37"/>
        <v>20.999119811284935</v>
      </c>
      <c r="K184" s="61">
        <f t="shared" si="38"/>
        <v>1303810.5048032133</v>
      </c>
      <c r="L184" s="10"/>
      <c r="M184" s="62">
        <f t="shared" si="39"/>
        <v>780.44301117111775</v>
      </c>
    </row>
    <row r="185" spans="3:13" x14ac:dyDescent="0.25">
      <c r="C185" s="10">
        <f t="shared" si="32"/>
        <v>9.5999999999999819</v>
      </c>
      <c r="D185" s="10">
        <f t="shared" si="33"/>
        <v>111.35573062147449</v>
      </c>
      <c r="E185" s="10">
        <f t="shared" si="34"/>
        <v>29.152271465992019</v>
      </c>
      <c r="F185" s="57">
        <f t="shared" si="35"/>
        <v>3.8197960234892174</v>
      </c>
      <c r="H185" s="27">
        <f t="shared" si="36"/>
        <v>704.01436922477887</v>
      </c>
      <c r="I185" s="10">
        <f t="shared" si="28"/>
        <v>9.5999999999999819</v>
      </c>
      <c r="J185" s="60">
        <f t="shared" si="37"/>
        <v>21.199110546140563</v>
      </c>
      <c r="K185" s="61">
        <f t="shared" si="38"/>
        <v>1380822.0552208284</v>
      </c>
      <c r="L185" s="10"/>
      <c r="M185" s="62">
        <f t="shared" si="39"/>
        <v>799.363918921606</v>
      </c>
    </row>
    <row r="186" spans="3:13" x14ac:dyDescent="0.25">
      <c r="C186" s="10">
        <f t="shared" si="32"/>
        <v>9.6999999999999815</v>
      </c>
      <c r="D186" s="10">
        <f t="shared" si="33"/>
        <v>113.48564121283134</v>
      </c>
      <c r="E186" s="10">
        <f t="shared" si="34"/>
        <v>29.435107627096102</v>
      </c>
      <c r="F186" s="57">
        <f t="shared" si="35"/>
        <v>3.8554518859093152</v>
      </c>
      <c r="H186" s="27">
        <f t="shared" si="36"/>
        <v>720.82099092488215</v>
      </c>
      <c r="I186" s="10">
        <f t="shared" si="28"/>
        <v>9.6999999999999815</v>
      </c>
      <c r="J186" s="60">
        <f t="shared" si="37"/>
        <v>21.399101280996195</v>
      </c>
      <c r="K186" s="61">
        <f t="shared" si="38"/>
        <v>1461580.5247415379</v>
      </c>
      <c r="L186" s="10"/>
      <c r="M186" s="62">
        <f t="shared" si="39"/>
        <v>818.5554611329793</v>
      </c>
    </row>
    <row r="187" spans="3:13" x14ac:dyDescent="0.25">
      <c r="C187" s="10">
        <f t="shared" si="32"/>
        <v>9.7999999999999812</v>
      </c>
      <c r="D187" s="10">
        <f t="shared" si="33"/>
        <v>115.63555087767374</v>
      </c>
      <c r="E187" s="10">
        <f t="shared" si="34"/>
        <v>29.717943788200184</v>
      </c>
      <c r="F187" s="57">
        <f t="shared" si="35"/>
        <v>3.8911020123669533</v>
      </c>
      <c r="H187" s="27">
        <f t="shared" si="36"/>
        <v>737.86438344891849</v>
      </c>
      <c r="I187" s="10">
        <f t="shared" si="28"/>
        <v>9.7999999999999812</v>
      </c>
      <c r="J187" s="60">
        <f t="shared" si="37"/>
        <v>21.599092015851827</v>
      </c>
      <c r="K187" s="61">
        <f t="shared" si="38"/>
        <v>1546230.0918832903</v>
      </c>
      <c r="L187" s="10"/>
      <c r="M187" s="62">
        <f t="shared" si="39"/>
        <v>838.01890659103833</v>
      </c>
    </row>
    <row r="188" spans="3:13" x14ac:dyDescent="0.25">
      <c r="C188" s="10">
        <f t="shared" si="32"/>
        <v>9.8999999999999808</v>
      </c>
      <c r="D188" s="10">
        <f t="shared" si="33"/>
        <v>117.80545961600168</v>
      </c>
      <c r="E188" s="10">
        <f t="shared" si="34"/>
        <v>30.000779949304267</v>
      </c>
      <c r="F188" s="57">
        <f t="shared" si="35"/>
        <v>3.9267465650916735</v>
      </c>
      <c r="H188" s="27">
        <f t="shared" si="36"/>
        <v>755.14564088772522</v>
      </c>
      <c r="I188" s="10">
        <f t="shared" si="28"/>
        <v>9.8999999999999808</v>
      </c>
      <c r="J188" s="60">
        <f t="shared" si="37"/>
        <v>21.799082750707456</v>
      </c>
      <c r="K188" s="61">
        <f t="shared" si="38"/>
        <v>1634919.0491872509</v>
      </c>
      <c r="L188" s="10"/>
      <c r="M188" s="62">
        <f t="shared" si="39"/>
        <v>857.75551823797275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5363" r:id="rId4">
          <objectPr defaultSize="0" autoPict="0" r:id="rId5">
            <anchor moveWithCells="1" sizeWithCells="1">
              <from>
                <xdr:col>0</xdr:col>
                <xdr:colOff>769620</xdr:colOff>
                <xdr:row>0</xdr:row>
                <xdr:rowOff>0</xdr:rowOff>
              </from>
              <to>
                <xdr:col>6</xdr:col>
                <xdr:colOff>266700</xdr:colOff>
                <xdr:row>5</xdr:row>
                <xdr:rowOff>0</xdr:rowOff>
              </to>
            </anchor>
          </objectPr>
        </oleObject>
      </mc:Choice>
      <mc:Fallback>
        <oleObject progId="Equation.3" shapeId="15363" r:id="rId4"/>
      </mc:Fallback>
    </mc:AlternateContent>
    <mc:AlternateContent xmlns:mc="http://schemas.openxmlformats.org/markup-compatibility/2006">
      <mc:Choice Requires="x14">
        <oleObject progId="Equation.3" shapeId="15364" r:id="rId6">
          <objectPr defaultSize="0" autoPict="0" r:id="rId7">
            <anchor moveWithCells="1" sizeWithCells="1">
              <from>
                <xdr:col>8</xdr:col>
                <xdr:colOff>594360</xdr:colOff>
                <xdr:row>1</xdr:row>
                <xdr:rowOff>106680</xdr:rowOff>
              </from>
              <to>
                <xdr:col>10</xdr:col>
                <xdr:colOff>403860</xdr:colOff>
                <xdr:row>5</xdr:row>
                <xdr:rowOff>121920</xdr:rowOff>
              </to>
            </anchor>
          </objectPr>
        </oleObject>
      </mc:Choice>
      <mc:Fallback>
        <oleObject progId="Equation.3" shapeId="15364" r:id="rId6"/>
      </mc:Fallback>
    </mc:AlternateContent>
    <mc:AlternateContent xmlns:mc="http://schemas.openxmlformats.org/markup-compatibility/2006">
      <mc:Choice Requires="x14">
        <oleObject progId="Equation.3" shapeId="15534" r:id="rId8">
          <objectPr defaultSize="0" autoPict="0" r:id="rId9">
            <anchor moveWithCells="1" sizeWithCells="1">
              <from>
                <xdr:col>4</xdr:col>
                <xdr:colOff>68580</xdr:colOff>
                <xdr:row>83</xdr:row>
                <xdr:rowOff>121920</xdr:rowOff>
              </from>
              <to>
                <xdr:col>7</xdr:col>
                <xdr:colOff>373380</xdr:colOff>
                <xdr:row>86</xdr:row>
                <xdr:rowOff>30480</xdr:rowOff>
              </to>
            </anchor>
          </objectPr>
        </oleObject>
      </mc:Choice>
      <mc:Fallback>
        <oleObject progId="Equation.3" shapeId="15534" r:id="rId8"/>
      </mc:Fallback>
    </mc:AlternateContent>
    <mc:AlternateContent xmlns:mc="http://schemas.openxmlformats.org/markup-compatibility/2006">
      <mc:Choice Requires="x14">
        <oleObject progId="Equation.3" shapeId="15542" r:id="rId10">
          <objectPr defaultSize="0" autoPict="0" r:id="rId11">
            <anchor moveWithCells="1" sizeWithCells="1">
              <from>
                <xdr:col>11</xdr:col>
                <xdr:colOff>502920</xdr:colOff>
                <xdr:row>84</xdr:row>
                <xdr:rowOff>7620</xdr:rowOff>
              </from>
              <to>
                <xdr:col>13</xdr:col>
                <xdr:colOff>411480</xdr:colOff>
                <xdr:row>87</xdr:row>
                <xdr:rowOff>76200</xdr:rowOff>
              </to>
            </anchor>
          </objectPr>
        </oleObject>
      </mc:Choice>
      <mc:Fallback>
        <oleObject progId="Equation.3" shapeId="15542" r:id="rId10"/>
      </mc:Fallback>
    </mc:AlternateContent>
    <mc:AlternateContent xmlns:mc="http://schemas.openxmlformats.org/markup-compatibility/2006">
      <mc:Choice Requires="x14">
        <oleObject progId="Equation.3" shapeId="15544" r:id="rId12">
          <objectPr defaultSize="0" autoPict="0" r:id="rId11">
            <anchor moveWithCells="1" sizeWithCells="1">
              <from>
                <xdr:col>5</xdr:col>
                <xdr:colOff>563880</xdr:colOff>
                <xdr:row>2</xdr:row>
                <xdr:rowOff>7620</xdr:rowOff>
              </from>
              <to>
                <xdr:col>7</xdr:col>
                <xdr:colOff>472440</xdr:colOff>
                <xdr:row>5</xdr:row>
                <xdr:rowOff>137160</xdr:rowOff>
              </to>
            </anchor>
          </objectPr>
        </oleObject>
      </mc:Choice>
      <mc:Fallback>
        <oleObject progId="Equation.3" shapeId="15544" r:id="rId12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52"/>
  <sheetViews>
    <sheetView topLeftCell="A7" workbookViewId="0">
      <selection activeCell="U13" sqref="U13"/>
    </sheetView>
  </sheetViews>
  <sheetFormatPr defaultRowHeight="13.2" x14ac:dyDescent="0.25"/>
  <cols>
    <col min="1" max="1" width="12.44140625" customWidth="1"/>
    <col min="2" max="2" width="11.44140625" bestFit="1" customWidth="1"/>
    <col min="10" max="10" width="10" bestFit="1" customWidth="1"/>
    <col min="14" max="14" width="12.44140625" bestFit="1" customWidth="1"/>
  </cols>
  <sheetData>
    <row r="1" spans="1:19" x14ac:dyDescent="0.25">
      <c r="A1" t="s">
        <v>119</v>
      </c>
      <c r="G1" t="s">
        <v>102</v>
      </c>
    </row>
    <row r="2" spans="1:19" x14ac:dyDescent="0.25">
      <c r="P2" t="s">
        <v>118</v>
      </c>
    </row>
    <row r="3" spans="1:19" x14ac:dyDescent="0.25">
      <c r="A3" s="35" t="s">
        <v>104</v>
      </c>
      <c r="B3" s="31">
        <f>1/1000</f>
        <v>1E-3</v>
      </c>
      <c r="D3" s="33" t="s">
        <v>103</v>
      </c>
      <c r="E3" s="34"/>
      <c r="F3" s="34"/>
    </row>
    <row r="4" spans="1:19" x14ac:dyDescent="0.25">
      <c r="A4" s="31" t="s">
        <v>45</v>
      </c>
      <c r="B4" s="31">
        <v>0.03</v>
      </c>
      <c r="D4" s="33" t="s">
        <v>49</v>
      </c>
      <c r="E4" s="34"/>
      <c r="F4" s="34">
        <f>$B$4/8</f>
        <v>3.7499999999999999E-3</v>
      </c>
      <c r="P4" s="14" t="s">
        <v>110</v>
      </c>
    </row>
    <row r="5" spans="1:19" x14ac:dyDescent="0.25">
      <c r="A5" s="31" t="s">
        <v>48</v>
      </c>
      <c r="B5" s="31">
        <v>1</v>
      </c>
      <c r="D5" s="33" t="s">
        <v>117</v>
      </c>
      <c r="E5" s="34"/>
      <c r="F5" s="34">
        <f>($B$4*$B$5^2/(8*9.81*$B$3*$B$6^2))^(1/3)</f>
        <v>0.28801432746393918</v>
      </c>
    </row>
    <row r="6" spans="1:19" x14ac:dyDescent="0.25">
      <c r="A6" s="35" t="s">
        <v>50</v>
      </c>
      <c r="B6" s="31">
        <v>4</v>
      </c>
    </row>
    <row r="7" spans="1:19" x14ac:dyDescent="0.25">
      <c r="A7" s="51" t="s">
        <v>52</v>
      </c>
      <c r="B7" s="51">
        <f>((($B$5/$B$6)^2)/9.81)^(1/3)</f>
        <v>0.18538318385384195</v>
      </c>
    </row>
    <row r="9" spans="1:19" x14ac:dyDescent="0.25">
      <c r="A9" s="35" t="s">
        <v>108</v>
      </c>
      <c r="B9" s="31">
        <v>-0.5</v>
      </c>
    </row>
    <row r="10" spans="1:19" x14ac:dyDescent="0.25">
      <c r="A10" s="35" t="s">
        <v>107</v>
      </c>
      <c r="B10" s="31">
        <v>0.15</v>
      </c>
      <c r="F10" s="14" t="s">
        <v>4</v>
      </c>
      <c r="G10" s="14" t="s">
        <v>114</v>
      </c>
      <c r="H10" s="14" t="s">
        <v>105</v>
      </c>
      <c r="I10" s="14" t="s">
        <v>21</v>
      </c>
      <c r="J10" s="14" t="s">
        <v>112</v>
      </c>
      <c r="K10" s="14" t="s">
        <v>109</v>
      </c>
      <c r="L10" t="s">
        <v>111</v>
      </c>
      <c r="M10" s="35" t="s">
        <v>11</v>
      </c>
      <c r="N10" s="14" t="s">
        <v>10</v>
      </c>
      <c r="O10" s="14" t="s">
        <v>115</v>
      </c>
      <c r="P10" s="14" t="s">
        <v>106</v>
      </c>
      <c r="R10" s="94" t="s">
        <v>120</v>
      </c>
      <c r="S10" s="94"/>
    </row>
    <row r="11" spans="1:19" x14ac:dyDescent="0.25">
      <c r="A11" s="51" t="s">
        <v>113</v>
      </c>
      <c r="B11" s="51">
        <f>$B$10+($B$5/ ($B$6*$B$10))^2/(2*9.81)</f>
        <v>0.29157888775625779</v>
      </c>
      <c r="F11" s="31">
        <v>0</v>
      </c>
      <c r="G11" s="38">
        <f xml:space="preserve"> $B$11</f>
        <v>0.29157888775625779</v>
      </c>
      <c r="H11" s="38">
        <f>G11-($B$5/($B$10*$B$6))^2/(2*9.81)</f>
        <v>0.15</v>
      </c>
      <c r="I11" s="38">
        <f>$B$6*$B$10</f>
        <v>0.6</v>
      </c>
      <c r="J11" s="38">
        <f>I11/($B$6+2*$B$10)</f>
        <v>0.13953488372093023</v>
      </c>
      <c r="K11" s="38">
        <f>$B$5/I11</f>
        <v>1.6666666666666667</v>
      </c>
      <c r="L11" s="38">
        <f>K11^2/(2*9.81)</f>
        <v>0.14157888775625779</v>
      </c>
      <c r="M11" s="50">
        <f>$B$3</f>
        <v>1E-3</v>
      </c>
      <c r="N11" s="38"/>
      <c r="O11" s="38"/>
      <c r="R11" s="94"/>
      <c r="S11" s="94"/>
    </row>
    <row r="12" spans="1:19" x14ac:dyDescent="0.25">
      <c r="A12" s="14" t="s">
        <v>109</v>
      </c>
      <c r="B12">
        <f>$B$5/($B$10*$B$6)</f>
        <v>1.6666666666666667</v>
      </c>
      <c r="E12" s="14"/>
      <c r="F12" s="38">
        <f>F11+$B$9</f>
        <v>-0.5</v>
      </c>
      <c r="G12" s="38">
        <f>G11</f>
        <v>0.29157888775625779</v>
      </c>
      <c r="H12" s="38">
        <f>H11</f>
        <v>0.15</v>
      </c>
      <c r="I12" s="14">
        <f>$B$6*H12</f>
        <v>0.6</v>
      </c>
      <c r="J12" s="38">
        <f>I12/($B$6+2*H12)</f>
        <v>0.13953488372093023</v>
      </c>
      <c r="K12">
        <f>$B$5/I12</f>
        <v>1.6666666666666667</v>
      </c>
      <c r="L12">
        <f>K12^2/(2*9.81)</f>
        <v>0.14157888775625779</v>
      </c>
      <c r="M12" s="31">
        <f>$B$3</f>
        <v>1E-3</v>
      </c>
      <c r="N12">
        <f>$B$4*L12/(4*J12)</f>
        <v>7.609865216898856E-3</v>
      </c>
      <c r="O12">
        <f>G12+$B$9*(M12-N12)</f>
        <v>0.29488382036470723</v>
      </c>
      <c r="P12">
        <f>O12-L12</f>
        <v>0.15330493260844943</v>
      </c>
      <c r="R12" s="94">
        <f>$B$4*H12*K11^2*1000+(H12^2*1000*9.81)/2</f>
        <v>122.86250000000001</v>
      </c>
      <c r="S12" s="94"/>
    </row>
    <row r="13" spans="1:19" x14ac:dyDescent="0.25">
      <c r="A13" s="14" t="s">
        <v>116</v>
      </c>
      <c r="B13">
        <f>B12^2/(2*9.81)</f>
        <v>0.14157888775625779</v>
      </c>
      <c r="E13" s="14"/>
      <c r="F13" s="38">
        <f>F12+$B$9</f>
        <v>-1</v>
      </c>
      <c r="G13">
        <f>O12</f>
        <v>0.29488382036470723</v>
      </c>
      <c r="H13">
        <f>P12</f>
        <v>0.15330493260844943</v>
      </c>
      <c r="I13">
        <f t="shared" ref="I13:I76" si="0">$B$6*H13</f>
        <v>0.61321973043379774</v>
      </c>
      <c r="J13" s="38">
        <f t="shared" ref="J13:J75" si="1">I13/($B$6+2*$B$10)</f>
        <v>0.14260923963576691</v>
      </c>
      <c r="K13">
        <f>$B$5/I13</f>
        <v>1.6307368311397776</v>
      </c>
      <c r="L13">
        <f t="shared" ref="L13:L76" si="2">K13^2/(2*9.81)</f>
        <v>0.13554039818734984</v>
      </c>
      <c r="M13" s="31">
        <f t="shared" ref="M13:M76" si="3">$B$3</f>
        <v>1E-3</v>
      </c>
      <c r="N13">
        <f t="shared" ref="N13:N76" si="4">$B$4*L13/(4*J13)</f>
        <v>7.1282407016646674E-3</v>
      </c>
      <c r="O13">
        <f>G13+$B$9*(M13-N13)</f>
        <v>0.29794794071553954</v>
      </c>
      <c r="P13">
        <f>O13-L13</f>
        <v>0.1624075425281897</v>
      </c>
      <c r="R13" s="94">
        <f t="shared" ref="R13:R76" si="5">$B$4*H13*K12^2*1000+(H13^2*1000*9.81)/2</f>
        <v>128.0546946367125</v>
      </c>
      <c r="S13" s="94"/>
    </row>
    <row r="14" spans="1:19" x14ac:dyDescent="0.25">
      <c r="F14" s="38">
        <f t="shared" ref="F14:F29" si="6">F13+$B$9</f>
        <v>-1.5</v>
      </c>
      <c r="G14">
        <f t="shared" ref="G14:G29" si="7">O13</f>
        <v>0.29794794071553954</v>
      </c>
      <c r="H14">
        <f t="shared" ref="H14:H29" si="8">P13</f>
        <v>0.1624075425281897</v>
      </c>
      <c r="I14">
        <f t="shared" si="0"/>
        <v>0.64963017011275881</v>
      </c>
      <c r="J14" s="38">
        <f t="shared" si="1"/>
        <v>0.15107678374715322</v>
      </c>
      <c r="K14">
        <f t="shared" ref="K14:K29" si="9">$B$5/I14</f>
        <v>1.5393373737959648</v>
      </c>
      <c r="L14">
        <f t="shared" si="2"/>
        <v>0.12077265802064514</v>
      </c>
      <c r="M14" s="31">
        <f t="shared" si="3"/>
        <v>1E-3</v>
      </c>
      <c r="N14">
        <f t="shared" si="4"/>
        <v>5.9955931857194221E-3</v>
      </c>
      <c r="O14">
        <f t="shared" ref="O14:O29" si="10">G14+$B$9*(M14-N14)</f>
        <v>0.30044573730839924</v>
      </c>
      <c r="P14">
        <f t="shared" ref="P14:P29" si="11">O14-L14</f>
        <v>0.17967307928775411</v>
      </c>
      <c r="R14" s="94">
        <f t="shared" si="5"/>
        <v>142.33203347630922</v>
      </c>
      <c r="S14" s="94"/>
    </row>
    <row r="15" spans="1:19" x14ac:dyDescent="0.25">
      <c r="F15" s="38">
        <f t="shared" si="6"/>
        <v>-2</v>
      </c>
      <c r="G15">
        <f t="shared" si="7"/>
        <v>0.30044573730839924</v>
      </c>
      <c r="H15">
        <f t="shared" si="8"/>
        <v>0.17967307928775411</v>
      </c>
      <c r="I15">
        <f t="shared" si="0"/>
        <v>0.71869231715101645</v>
      </c>
      <c r="J15" s="38">
        <f t="shared" si="1"/>
        <v>0.16713774817465499</v>
      </c>
      <c r="K15">
        <f t="shared" si="9"/>
        <v>1.39141601508156</v>
      </c>
      <c r="L15">
        <f t="shared" si="2"/>
        <v>9.8676785271429548E-2</v>
      </c>
      <c r="M15" s="31">
        <f t="shared" si="3"/>
        <v>1E-3</v>
      </c>
      <c r="N15">
        <f t="shared" si="4"/>
        <v>4.4279398138256584E-3</v>
      </c>
      <c r="O15">
        <f t="shared" si="10"/>
        <v>0.30215970721531205</v>
      </c>
      <c r="P15">
        <f t="shared" si="11"/>
        <v>0.20348292194388251</v>
      </c>
      <c r="R15" s="94">
        <f t="shared" si="5"/>
        <v>171.11762946784114</v>
      </c>
      <c r="S15" s="94"/>
    </row>
    <row r="16" spans="1:19" x14ac:dyDescent="0.25">
      <c r="F16" s="38">
        <f t="shared" si="6"/>
        <v>-2.5</v>
      </c>
      <c r="G16">
        <f t="shared" si="7"/>
        <v>0.30215970721531205</v>
      </c>
      <c r="H16">
        <f t="shared" si="8"/>
        <v>0.20348292194388251</v>
      </c>
      <c r="I16">
        <f t="shared" si="0"/>
        <v>0.81393168777553004</v>
      </c>
      <c r="J16" s="38">
        <f t="shared" si="1"/>
        <v>0.18928643901756514</v>
      </c>
      <c r="K16">
        <f t="shared" si="9"/>
        <v>1.2286043350062872</v>
      </c>
      <c r="L16">
        <f t="shared" si="2"/>
        <v>7.6935199388187617E-2</v>
      </c>
      <c r="M16" s="31">
        <f t="shared" si="3"/>
        <v>1E-3</v>
      </c>
      <c r="N16">
        <f t="shared" si="4"/>
        <v>3.0483641533235357E-3</v>
      </c>
      <c r="O16">
        <f t="shared" si="10"/>
        <v>0.30318388929197382</v>
      </c>
      <c r="P16">
        <f t="shared" si="11"/>
        <v>0.22624868990378622</v>
      </c>
      <c r="R16" s="94">
        <f t="shared" si="5"/>
        <v>214.91151745368506</v>
      </c>
      <c r="S16" s="94"/>
    </row>
    <row r="17" spans="6:19" x14ac:dyDescent="0.25">
      <c r="F17" s="38">
        <f t="shared" si="6"/>
        <v>-3</v>
      </c>
      <c r="G17">
        <f t="shared" si="7"/>
        <v>0.30318388929197382</v>
      </c>
      <c r="H17">
        <f t="shared" si="8"/>
        <v>0.22624868990378622</v>
      </c>
      <c r="I17">
        <f t="shared" si="0"/>
        <v>0.90499475961514486</v>
      </c>
      <c r="J17" s="38">
        <f t="shared" si="1"/>
        <v>0.21046389758491743</v>
      </c>
      <c r="K17">
        <f t="shared" si="9"/>
        <v>1.104978774048655</v>
      </c>
      <c r="L17">
        <f t="shared" si="2"/>
        <v>6.2231299240472403E-2</v>
      </c>
      <c r="M17" s="31">
        <f t="shared" si="3"/>
        <v>1E-3</v>
      </c>
      <c r="N17">
        <f t="shared" si="4"/>
        <v>2.2176475379356978E-3</v>
      </c>
      <c r="O17">
        <f t="shared" si="10"/>
        <v>0.30379271306094169</v>
      </c>
      <c r="P17">
        <f t="shared" si="11"/>
        <v>0.24156141382046928</v>
      </c>
      <c r="R17" s="94">
        <f t="shared" si="5"/>
        <v>261.32490267344713</v>
      </c>
      <c r="S17" s="94"/>
    </row>
    <row r="18" spans="6:19" x14ac:dyDescent="0.25">
      <c r="F18" s="38">
        <f t="shared" si="6"/>
        <v>-3.5</v>
      </c>
      <c r="G18">
        <f t="shared" si="7"/>
        <v>0.30379271306094169</v>
      </c>
      <c r="H18">
        <f t="shared" si="8"/>
        <v>0.24156141382046928</v>
      </c>
      <c r="I18">
        <f t="shared" si="0"/>
        <v>0.96624565528187711</v>
      </c>
      <c r="J18" s="38">
        <f t="shared" si="1"/>
        <v>0.22470829192601793</v>
      </c>
      <c r="K18">
        <f t="shared" si="9"/>
        <v>1.0349335021933692</v>
      </c>
      <c r="L18">
        <f t="shared" si="2"/>
        <v>5.4591608254955785E-2</v>
      </c>
      <c r="M18" s="31">
        <f t="shared" si="3"/>
        <v>1E-3</v>
      </c>
      <c r="N18">
        <f t="shared" si="4"/>
        <v>1.8220825693738521E-3</v>
      </c>
      <c r="O18">
        <f t="shared" si="10"/>
        <v>0.30420375434562863</v>
      </c>
      <c r="P18">
        <f t="shared" si="11"/>
        <v>0.24961214609067284</v>
      </c>
      <c r="R18" s="94">
        <f t="shared" si="5"/>
        <v>295.06438697114442</v>
      </c>
      <c r="S18" s="94"/>
    </row>
    <row r="19" spans="6:19" x14ac:dyDescent="0.25">
      <c r="F19" s="38">
        <f t="shared" si="6"/>
        <v>-4</v>
      </c>
      <c r="G19">
        <f t="shared" si="7"/>
        <v>0.30420375434562863</v>
      </c>
      <c r="H19">
        <f t="shared" si="8"/>
        <v>0.24961214609067284</v>
      </c>
      <c r="I19">
        <f t="shared" si="0"/>
        <v>0.99844858436269135</v>
      </c>
      <c r="J19" s="38">
        <f t="shared" si="1"/>
        <v>0.2321973452006259</v>
      </c>
      <c r="K19">
        <f t="shared" si="9"/>
        <v>1.001553826267678</v>
      </c>
      <c r="L19">
        <f t="shared" si="2"/>
        <v>5.1126914725353009E-2</v>
      </c>
      <c r="M19" s="31">
        <f t="shared" si="3"/>
        <v>1E-3</v>
      </c>
      <c r="N19">
        <f t="shared" si="4"/>
        <v>1.6514050154571446E-3</v>
      </c>
      <c r="O19">
        <f t="shared" si="10"/>
        <v>0.30452945685335719</v>
      </c>
      <c r="P19">
        <f t="shared" si="11"/>
        <v>0.25340254212800417</v>
      </c>
      <c r="R19" s="94">
        <f t="shared" si="5"/>
        <v>313.63271854193067</v>
      </c>
      <c r="S19" s="94"/>
    </row>
    <row r="20" spans="6:19" x14ac:dyDescent="0.25">
      <c r="F20" s="38">
        <f t="shared" si="6"/>
        <v>-4.5</v>
      </c>
      <c r="G20">
        <f t="shared" si="7"/>
        <v>0.30452945685335719</v>
      </c>
      <c r="H20">
        <f t="shared" si="8"/>
        <v>0.25340254212800417</v>
      </c>
      <c r="I20">
        <f t="shared" si="0"/>
        <v>1.0136101685120167</v>
      </c>
      <c r="J20" s="38">
        <f t="shared" si="1"/>
        <v>0.2357232950027946</v>
      </c>
      <c r="K20">
        <f t="shared" si="9"/>
        <v>0.98657258092428524</v>
      </c>
      <c r="L20">
        <f t="shared" si="2"/>
        <v>4.9608840847686304E-2</v>
      </c>
      <c r="M20" s="31">
        <f t="shared" si="3"/>
        <v>1E-3</v>
      </c>
      <c r="N20">
        <f t="shared" si="4"/>
        <v>1.5784027893943882E-3</v>
      </c>
      <c r="O20">
        <f t="shared" si="10"/>
        <v>0.30481865824805437</v>
      </c>
      <c r="P20">
        <f t="shared" si="11"/>
        <v>0.25520981740036808</v>
      </c>
      <c r="R20" s="94">
        <f t="shared" si="5"/>
        <v>322.58974042045224</v>
      </c>
      <c r="S20" s="94"/>
    </row>
    <row r="21" spans="6:19" x14ac:dyDescent="0.25">
      <c r="F21" s="38">
        <f t="shared" si="6"/>
        <v>-5</v>
      </c>
      <c r="G21">
        <f t="shared" si="7"/>
        <v>0.30481865824805437</v>
      </c>
      <c r="H21">
        <f t="shared" si="8"/>
        <v>0.25520981740036808</v>
      </c>
      <c r="I21">
        <f t="shared" si="0"/>
        <v>1.0208392696014723</v>
      </c>
      <c r="J21" s="38">
        <f t="shared" si="1"/>
        <v>0.237404481302668</v>
      </c>
      <c r="K21">
        <f t="shared" si="9"/>
        <v>0.9795861403239241</v>
      </c>
      <c r="L21">
        <f t="shared" si="2"/>
        <v>4.8908715918181585E-2</v>
      </c>
      <c r="M21" s="31">
        <f t="shared" si="3"/>
        <v>1E-3</v>
      </c>
      <c r="N21">
        <f t="shared" si="4"/>
        <v>1.5451071832073269E-3</v>
      </c>
      <c r="O21">
        <f t="shared" si="10"/>
        <v>0.30509121183965804</v>
      </c>
      <c r="P21">
        <f t="shared" si="11"/>
        <v>0.25618249592147646</v>
      </c>
      <c r="R21" s="94">
        <f t="shared" si="5"/>
        <v>326.92477602024826</v>
      </c>
      <c r="S21" s="94"/>
    </row>
    <row r="22" spans="6:19" x14ac:dyDescent="0.25">
      <c r="F22" s="38">
        <f t="shared" si="6"/>
        <v>-5.5</v>
      </c>
      <c r="G22">
        <f t="shared" si="7"/>
        <v>0.30509121183965804</v>
      </c>
      <c r="H22">
        <f t="shared" si="8"/>
        <v>0.25618249592147646</v>
      </c>
      <c r="I22">
        <f t="shared" si="0"/>
        <v>1.0247299836859058</v>
      </c>
      <c r="J22" s="38">
        <f t="shared" si="1"/>
        <v>0.23830929853160601</v>
      </c>
      <c r="K22">
        <f t="shared" si="9"/>
        <v>0.97586682923344037</v>
      </c>
      <c r="L22">
        <f t="shared" si="2"/>
        <v>4.853802591223897E-2</v>
      </c>
      <c r="M22" s="31">
        <f t="shared" si="3"/>
        <v>1E-3</v>
      </c>
      <c r="N22">
        <f t="shared" si="4"/>
        <v>1.5275744445763274E-3</v>
      </c>
      <c r="O22">
        <f t="shared" si="10"/>
        <v>0.30535499906194619</v>
      </c>
      <c r="P22">
        <f t="shared" si="11"/>
        <v>0.2568169731497072</v>
      </c>
      <c r="R22" s="94">
        <f t="shared" si="5"/>
        <v>329.28745351810909</v>
      </c>
      <c r="S22" s="94"/>
    </row>
    <row r="23" spans="6:19" x14ac:dyDescent="0.25">
      <c r="F23" s="38">
        <f t="shared" si="6"/>
        <v>-6</v>
      </c>
      <c r="G23">
        <f t="shared" si="7"/>
        <v>0.30535499906194619</v>
      </c>
      <c r="H23">
        <f t="shared" si="8"/>
        <v>0.2568169731497072</v>
      </c>
      <c r="I23">
        <f t="shared" si="0"/>
        <v>1.0272678925988288</v>
      </c>
      <c r="J23" s="38">
        <f t="shared" si="1"/>
        <v>0.23889950990670439</v>
      </c>
      <c r="K23">
        <f t="shared" si="9"/>
        <v>0.97345590882837263</v>
      </c>
      <c r="L23">
        <f t="shared" si="2"/>
        <v>4.8298491663245305E-2</v>
      </c>
      <c r="M23" s="31">
        <f t="shared" si="3"/>
        <v>1E-3</v>
      </c>
      <c r="N23">
        <f t="shared" si="4"/>
        <v>1.5162805801309603E-3</v>
      </c>
      <c r="O23">
        <f t="shared" si="10"/>
        <v>0.30561313935201168</v>
      </c>
      <c r="P23">
        <f t="shared" si="11"/>
        <v>0.25731464768876638</v>
      </c>
      <c r="R23" s="94">
        <f t="shared" si="5"/>
        <v>330.84619541263345</v>
      </c>
      <c r="S23" s="94"/>
    </row>
    <row r="24" spans="6:19" x14ac:dyDescent="0.25">
      <c r="F24" s="38">
        <f t="shared" si="6"/>
        <v>-6.5</v>
      </c>
      <c r="G24">
        <f t="shared" si="7"/>
        <v>0.30561313935201168</v>
      </c>
      <c r="H24">
        <f t="shared" si="8"/>
        <v>0.25731464768876638</v>
      </c>
      <c r="I24">
        <f t="shared" si="0"/>
        <v>1.0292585907550655</v>
      </c>
      <c r="J24" s="38">
        <f t="shared" si="1"/>
        <v>0.23936246296629432</v>
      </c>
      <c r="K24">
        <f t="shared" si="9"/>
        <v>0.9715731391334792</v>
      </c>
      <c r="L24">
        <f t="shared" si="2"/>
        <v>4.8111843256151011E-2</v>
      </c>
      <c r="M24" s="31">
        <f t="shared" si="3"/>
        <v>1E-3</v>
      </c>
      <c r="N24">
        <f t="shared" si="4"/>
        <v>1.5074996302655186E-3</v>
      </c>
      <c r="O24">
        <f t="shared" si="10"/>
        <v>0.30586688916714444</v>
      </c>
      <c r="P24">
        <f t="shared" si="11"/>
        <v>0.25775504591099341</v>
      </c>
      <c r="R24" s="94">
        <f t="shared" si="5"/>
        <v>332.0791783769875</v>
      </c>
      <c r="S24" s="94"/>
    </row>
    <row r="25" spans="6:19" x14ac:dyDescent="0.25">
      <c r="F25" s="38">
        <f t="shared" si="6"/>
        <v>-7</v>
      </c>
      <c r="G25">
        <f t="shared" si="7"/>
        <v>0.30586688916714444</v>
      </c>
      <c r="H25">
        <f t="shared" si="8"/>
        <v>0.25775504591099341</v>
      </c>
      <c r="I25">
        <f t="shared" si="0"/>
        <v>1.0310201836439736</v>
      </c>
      <c r="J25" s="38">
        <f t="shared" si="1"/>
        <v>0.23977213573115666</v>
      </c>
      <c r="K25">
        <f t="shared" si="9"/>
        <v>0.96991311699220295</v>
      </c>
      <c r="L25">
        <f t="shared" si="2"/>
        <v>4.7947576682646827E-2</v>
      </c>
      <c r="M25" s="31">
        <f t="shared" si="3"/>
        <v>1E-3</v>
      </c>
      <c r="N25">
        <f t="shared" si="4"/>
        <v>1.4997857195677591E-3</v>
      </c>
      <c r="O25">
        <f t="shared" si="10"/>
        <v>0.30611678202692832</v>
      </c>
      <c r="P25">
        <f t="shared" si="11"/>
        <v>0.2581692053442815</v>
      </c>
      <c r="R25" s="94">
        <f t="shared" si="5"/>
        <v>333.17601043031993</v>
      </c>
      <c r="S25" s="94"/>
    </row>
    <row r="26" spans="6:19" x14ac:dyDescent="0.25">
      <c r="F26" s="38">
        <f t="shared" si="6"/>
        <v>-7.5</v>
      </c>
      <c r="G26">
        <f t="shared" si="7"/>
        <v>0.30611678202692832</v>
      </c>
      <c r="H26">
        <f t="shared" si="8"/>
        <v>0.2581692053442815</v>
      </c>
      <c r="I26">
        <f t="shared" si="0"/>
        <v>1.032676821377126</v>
      </c>
      <c r="J26" s="38">
        <f t="shared" si="1"/>
        <v>0.24015740032026187</v>
      </c>
      <c r="K26">
        <f t="shared" si="9"/>
        <v>0.96835716586187159</v>
      </c>
      <c r="L26">
        <f t="shared" si="2"/>
        <v>4.779386343914558E-2</v>
      </c>
      <c r="M26" s="31">
        <f t="shared" si="3"/>
        <v>1E-3</v>
      </c>
      <c r="N26">
        <f t="shared" si="4"/>
        <v>1.4925793471930308E-3</v>
      </c>
      <c r="O26">
        <f t="shared" si="10"/>
        <v>0.30636307170052485</v>
      </c>
      <c r="P26">
        <f t="shared" si="11"/>
        <v>0.25856920826137925</v>
      </c>
      <c r="R26" s="94">
        <f t="shared" si="5"/>
        <v>334.21085253624352</v>
      </c>
      <c r="S26" s="94"/>
    </row>
    <row r="27" spans="6:19" x14ac:dyDescent="0.25">
      <c r="F27" s="38">
        <f t="shared" si="6"/>
        <v>-8</v>
      </c>
      <c r="G27">
        <f t="shared" si="7"/>
        <v>0.30636307170052485</v>
      </c>
      <c r="H27">
        <f t="shared" si="8"/>
        <v>0.25856920826137925</v>
      </c>
      <c r="I27">
        <f t="shared" si="0"/>
        <v>1.034276833045517</v>
      </c>
      <c r="J27" s="38">
        <f t="shared" si="1"/>
        <v>0.24052949605709698</v>
      </c>
      <c r="K27">
        <f t="shared" si="9"/>
        <v>0.96685913098857112</v>
      </c>
      <c r="L27">
        <f t="shared" si="2"/>
        <v>4.7646104952903917E-2</v>
      </c>
      <c r="M27" s="31">
        <f t="shared" si="3"/>
        <v>1E-3</v>
      </c>
      <c r="N27">
        <f t="shared" si="4"/>
        <v>1.4856630600595965E-3</v>
      </c>
      <c r="O27">
        <f t="shared" si="10"/>
        <v>0.30660590323055464</v>
      </c>
      <c r="P27">
        <f t="shared" si="11"/>
        <v>0.2589597982776507</v>
      </c>
      <c r="R27" s="94">
        <f t="shared" si="5"/>
        <v>335.21259534902987</v>
      </c>
      <c r="S27" s="94"/>
    </row>
    <row r="28" spans="6:19" x14ac:dyDescent="0.25">
      <c r="F28" s="38">
        <f t="shared" si="6"/>
        <v>-8.5</v>
      </c>
      <c r="G28">
        <f t="shared" si="7"/>
        <v>0.30660590323055464</v>
      </c>
      <c r="H28">
        <f t="shared" si="8"/>
        <v>0.2589597982776507</v>
      </c>
      <c r="I28">
        <f t="shared" si="0"/>
        <v>1.0358391931106028</v>
      </c>
      <c r="J28" s="38">
        <f t="shared" si="1"/>
        <v>0.24089283560711694</v>
      </c>
      <c r="K28">
        <f t="shared" si="9"/>
        <v>0.96540081380491261</v>
      </c>
      <c r="L28">
        <f t="shared" si="2"/>
        <v>4.7502483756125764E-2</v>
      </c>
      <c r="M28" s="31">
        <f t="shared" si="3"/>
        <v>1E-3</v>
      </c>
      <c r="N28">
        <f t="shared" si="4"/>
        <v>1.4789507013483701E-3</v>
      </c>
      <c r="O28">
        <f t="shared" si="10"/>
        <v>0.30684537858122884</v>
      </c>
      <c r="P28">
        <f t="shared" si="11"/>
        <v>0.25934289482510309</v>
      </c>
      <c r="R28" s="94">
        <f t="shared" si="5"/>
        <v>336.19256617632794</v>
      </c>
      <c r="S28" s="94"/>
    </row>
    <row r="29" spans="6:19" x14ac:dyDescent="0.25">
      <c r="F29" s="38">
        <f t="shared" si="6"/>
        <v>-9</v>
      </c>
      <c r="G29">
        <f t="shared" si="7"/>
        <v>0.30684537858122884</v>
      </c>
      <c r="H29">
        <f t="shared" si="8"/>
        <v>0.25934289482510309</v>
      </c>
      <c r="I29">
        <f t="shared" si="0"/>
        <v>1.0373715793004123</v>
      </c>
      <c r="J29" s="38">
        <f t="shared" si="1"/>
        <v>0.24124920448846801</v>
      </c>
      <c r="K29">
        <f t="shared" si="9"/>
        <v>0.96397474150427831</v>
      </c>
      <c r="L29">
        <f t="shared" si="2"/>
        <v>4.7362247821520903E-2</v>
      </c>
      <c r="M29" s="31">
        <f t="shared" si="3"/>
        <v>1E-3</v>
      </c>
      <c r="N29">
        <f t="shared" si="4"/>
        <v>1.4724063418761928E-3</v>
      </c>
      <c r="O29">
        <f t="shared" si="10"/>
        <v>0.30708158175216693</v>
      </c>
      <c r="P29">
        <f t="shared" si="11"/>
        <v>0.25971933393064606</v>
      </c>
      <c r="R29" s="94">
        <f t="shared" si="5"/>
        <v>337.15532292559982</v>
      </c>
      <c r="S29" s="94"/>
    </row>
    <row r="30" spans="6:19" x14ac:dyDescent="0.25">
      <c r="F30">
        <f t="shared" ref="F30:F48" si="12">F29+$B$9</f>
        <v>-9.5</v>
      </c>
      <c r="G30">
        <f t="shared" ref="G30:H32" si="13">O29</f>
        <v>0.30708158175216693</v>
      </c>
      <c r="H30">
        <f t="shared" si="13"/>
        <v>0.25971933393064606</v>
      </c>
      <c r="I30">
        <f t="shared" si="0"/>
        <v>1.0388773357225842</v>
      </c>
      <c r="J30">
        <f t="shared" si="1"/>
        <v>0.241599380400601</v>
      </c>
      <c r="K30">
        <f t="shared" ref="K30:K48" si="14">$B$5/I30</f>
        <v>0.96257754945097218</v>
      </c>
      <c r="L30">
        <f t="shared" si="2"/>
        <v>4.7225052941235413E-2</v>
      </c>
      <c r="M30" s="31">
        <f t="shared" si="3"/>
        <v>1E-3</v>
      </c>
      <c r="N30">
        <f t="shared" si="4"/>
        <v>1.4660132673849544E-3</v>
      </c>
      <c r="O30">
        <f t="shared" ref="O30:O48" si="15">G30+$B$9*(M30-N30)</f>
        <v>0.3073145883858594</v>
      </c>
      <c r="P30">
        <f t="shared" ref="P30:P48" si="16">O30-L30</f>
        <v>0.26008953544462399</v>
      </c>
      <c r="R30" s="94">
        <f t="shared" si="5"/>
        <v>338.10282421922204</v>
      </c>
      <c r="S30" s="94"/>
    </row>
    <row r="31" spans="6:19" x14ac:dyDescent="0.25">
      <c r="F31">
        <f t="shared" si="12"/>
        <v>-10</v>
      </c>
      <c r="G31">
        <f t="shared" si="13"/>
        <v>0.3073145883858594</v>
      </c>
      <c r="H31">
        <f t="shared" si="13"/>
        <v>0.26008953544462399</v>
      </c>
      <c r="I31">
        <f t="shared" si="0"/>
        <v>1.0403581417784959</v>
      </c>
      <c r="J31">
        <f t="shared" si="1"/>
        <v>0.24194375390197581</v>
      </c>
      <c r="K31">
        <f t="shared" si="14"/>
        <v>0.96120745332035029</v>
      </c>
      <c r="L31">
        <f t="shared" si="2"/>
        <v>4.7090711942843692E-2</v>
      </c>
      <c r="M31" s="31">
        <f t="shared" si="3"/>
        <v>1E-3</v>
      </c>
      <c r="N31">
        <f t="shared" si="4"/>
        <v>1.4597621714773413E-3</v>
      </c>
      <c r="O31">
        <f t="shared" si="15"/>
        <v>0.30754446947159808</v>
      </c>
      <c r="P31">
        <f t="shared" si="16"/>
        <v>0.26045375752875438</v>
      </c>
      <c r="R31" s="94">
        <f t="shared" si="5"/>
        <v>339.03603041523928</v>
      </c>
      <c r="S31" s="94"/>
    </row>
    <row r="32" spans="6:19" x14ac:dyDescent="0.25">
      <c r="F32" s="38">
        <f t="shared" si="12"/>
        <v>-10.5</v>
      </c>
      <c r="G32">
        <f t="shared" si="13"/>
        <v>0.30754446947159808</v>
      </c>
      <c r="H32">
        <f t="shared" si="13"/>
        <v>0.26045375752875438</v>
      </c>
      <c r="I32">
        <f t="shared" si="0"/>
        <v>1.0418150301150175</v>
      </c>
      <c r="J32" s="38">
        <f t="shared" si="1"/>
        <v>0.24228256514302735</v>
      </c>
      <c r="K32">
        <f t="shared" si="14"/>
        <v>0.95986328771778129</v>
      </c>
      <c r="L32">
        <f t="shared" si="2"/>
        <v>4.6959099444871977E-2</v>
      </c>
      <c r="M32" s="31">
        <f t="shared" si="3"/>
        <v>1E-3</v>
      </c>
      <c r="N32">
        <f t="shared" si="4"/>
        <v>1.4536466775008287E-3</v>
      </c>
      <c r="O32">
        <f t="shared" si="15"/>
        <v>0.30777129281034848</v>
      </c>
      <c r="P32">
        <f t="shared" si="16"/>
        <v>0.26081219336547651</v>
      </c>
      <c r="R32" s="94">
        <f t="shared" si="5"/>
        <v>339.95551513161564</v>
      </c>
      <c r="S32" s="94"/>
    </row>
    <row r="33" spans="6:19" x14ac:dyDescent="0.25">
      <c r="F33" s="38">
        <f t="shared" si="12"/>
        <v>-11</v>
      </c>
      <c r="G33">
        <f t="shared" ref="G33:G50" si="17">O32</f>
        <v>0.30777129281034848</v>
      </c>
      <c r="H33">
        <f t="shared" ref="H33:H50" si="18">P32</f>
        <v>0.26081219336547651</v>
      </c>
      <c r="I33">
        <f t="shared" si="0"/>
        <v>1.043248773461906</v>
      </c>
      <c r="J33" s="38">
        <f t="shared" si="1"/>
        <v>0.24261599382835025</v>
      </c>
      <c r="K33">
        <f t="shared" si="14"/>
        <v>0.95854414156808476</v>
      </c>
      <c r="L33">
        <f t="shared" si="2"/>
        <v>4.6830115766284229E-2</v>
      </c>
      <c r="M33" s="31">
        <f t="shared" si="3"/>
        <v>1E-3</v>
      </c>
      <c r="N33">
        <f t="shared" si="4"/>
        <v>1.447661643014444E-3</v>
      </c>
      <c r="O33">
        <f t="shared" si="15"/>
        <v>0.30799512363185572</v>
      </c>
      <c r="P33">
        <f t="shared" si="16"/>
        <v>0.26116500786557151</v>
      </c>
      <c r="R33" s="94">
        <f t="shared" si="5"/>
        <v>340.86169789033244</v>
      </c>
      <c r="S33" s="94"/>
    </row>
    <row r="34" spans="6:19" x14ac:dyDescent="0.25">
      <c r="F34" s="38">
        <f t="shared" si="12"/>
        <v>-11.5</v>
      </c>
      <c r="G34">
        <f t="shared" si="17"/>
        <v>0.30799512363185572</v>
      </c>
      <c r="H34">
        <f t="shared" si="18"/>
        <v>0.26116500786557151</v>
      </c>
      <c r="I34">
        <f t="shared" si="0"/>
        <v>1.044660031462286</v>
      </c>
      <c r="J34" s="38">
        <f t="shared" si="1"/>
        <v>0.24294419336332235</v>
      </c>
      <c r="K34">
        <f t="shared" si="14"/>
        <v>0.95724921972962618</v>
      </c>
      <c r="L34">
        <f t="shared" si="2"/>
        <v>4.6703673224922429E-2</v>
      </c>
      <c r="M34" s="31">
        <f t="shared" si="3"/>
        <v>1E-3</v>
      </c>
      <c r="N34">
        <f t="shared" si="4"/>
        <v>1.4418025157863276E-3</v>
      </c>
      <c r="O34">
        <f t="shared" si="15"/>
        <v>0.30821602488974886</v>
      </c>
      <c r="P34">
        <f t="shared" si="16"/>
        <v>0.26151235166482645</v>
      </c>
      <c r="R34" s="94">
        <f t="shared" si="5"/>
        <v>341.75493245381529</v>
      </c>
      <c r="S34" s="94"/>
    </row>
    <row r="35" spans="6:19" x14ac:dyDescent="0.25">
      <c r="F35" s="38">
        <f t="shared" si="12"/>
        <v>-12</v>
      </c>
      <c r="G35">
        <f t="shared" si="17"/>
        <v>0.30821602488974886</v>
      </c>
      <c r="H35">
        <f t="shared" si="18"/>
        <v>0.26151235166482645</v>
      </c>
      <c r="I35">
        <f t="shared" si="0"/>
        <v>1.0460494066593058</v>
      </c>
      <c r="J35" s="38">
        <f t="shared" si="1"/>
        <v>0.24326730387425718</v>
      </c>
      <c r="K35">
        <f t="shared" si="14"/>
        <v>0.95597778999142069</v>
      </c>
      <c r="L35">
        <f t="shared" si="2"/>
        <v>4.6579690874458755E-2</v>
      </c>
      <c r="M35" s="31">
        <f t="shared" si="3"/>
        <v>1E-3</v>
      </c>
      <c r="N35">
        <f t="shared" si="4"/>
        <v>1.436065085585918E-3</v>
      </c>
      <c r="O35">
        <f t="shared" si="15"/>
        <v>0.30843405743254182</v>
      </c>
      <c r="P35">
        <f t="shared" si="16"/>
        <v>0.26185436655808308</v>
      </c>
      <c r="R35" s="94">
        <f t="shared" si="5"/>
        <v>342.63554046269252</v>
      </c>
      <c r="S35" s="94"/>
    </row>
    <row r="36" spans="6:19" x14ac:dyDescent="0.25">
      <c r="F36" s="38">
        <f t="shared" si="12"/>
        <v>-12.5</v>
      </c>
      <c r="G36">
        <f t="shared" si="17"/>
        <v>0.30843405743254182</v>
      </c>
      <c r="H36">
        <f t="shared" si="18"/>
        <v>0.26185436655808308</v>
      </c>
      <c r="I36">
        <f t="shared" si="0"/>
        <v>1.0474174662323323</v>
      </c>
      <c r="J36" s="38">
        <f t="shared" si="1"/>
        <v>0.24358545726333311</v>
      </c>
      <c r="K36">
        <f t="shared" si="14"/>
        <v>0.95472916219079507</v>
      </c>
      <c r="L36">
        <f t="shared" si="2"/>
        <v>4.6458092412718525E-2</v>
      </c>
      <c r="M36" s="31">
        <f t="shared" si="3"/>
        <v>1E-3</v>
      </c>
      <c r="N36">
        <f t="shared" si="4"/>
        <v>1.4304453845892175E-3</v>
      </c>
      <c r="O36">
        <f t="shared" si="15"/>
        <v>0.30864928012483644</v>
      </c>
      <c r="P36">
        <f t="shared" si="16"/>
        <v>0.26219118771211791</v>
      </c>
      <c r="R36" s="94">
        <f t="shared" si="5"/>
        <v>343.50382442647873</v>
      </c>
      <c r="S36" s="94"/>
    </row>
    <row r="37" spans="6:19" x14ac:dyDescent="0.25">
      <c r="F37" s="38">
        <f t="shared" si="12"/>
        <v>-13</v>
      </c>
      <c r="G37">
        <f t="shared" si="17"/>
        <v>0.30864928012483644</v>
      </c>
      <c r="H37">
        <f t="shared" si="18"/>
        <v>0.26219118771211791</v>
      </c>
      <c r="I37">
        <f t="shared" si="0"/>
        <v>1.0487647508484716</v>
      </c>
      <c r="J37" s="38">
        <f t="shared" si="1"/>
        <v>0.24389877926708645</v>
      </c>
      <c r="K37">
        <f t="shared" si="14"/>
        <v>0.95350267940544342</v>
      </c>
      <c r="L37">
        <f t="shared" si="2"/>
        <v>4.6338805282026489E-2</v>
      </c>
      <c r="M37" s="31">
        <f t="shared" si="3"/>
        <v>1E-3</v>
      </c>
      <c r="N37">
        <f t="shared" si="4"/>
        <v>1.4249396436487145E-3</v>
      </c>
      <c r="O37">
        <f t="shared" si="15"/>
        <v>0.30886174994666082</v>
      </c>
      <c r="P37">
        <f t="shared" si="16"/>
        <v>0.26252294466463433</v>
      </c>
      <c r="R37" s="94">
        <f t="shared" si="5"/>
        <v>344.36007294206843</v>
      </c>
      <c r="S37" s="94"/>
    </row>
    <row r="38" spans="6:19" x14ac:dyDescent="0.25">
      <c r="F38" s="38">
        <f t="shared" si="12"/>
        <v>-13.5</v>
      </c>
      <c r="G38">
        <f t="shared" si="17"/>
        <v>0.30886174994666082</v>
      </c>
      <c r="H38">
        <f t="shared" si="18"/>
        <v>0.26252294466463433</v>
      </c>
      <c r="I38">
        <f t="shared" si="0"/>
        <v>1.0500917786585373</v>
      </c>
      <c r="J38" s="38">
        <f t="shared" si="1"/>
        <v>0.24420739038570635</v>
      </c>
      <c r="K38">
        <f t="shared" si="14"/>
        <v>0.95229771370791216</v>
      </c>
      <c r="L38">
        <f t="shared" si="2"/>
        <v>4.6221760220862211E-2</v>
      </c>
      <c r="M38" s="31">
        <f t="shared" si="3"/>
        <v>1E-3</v>
      </c>
      <c r="N38">
        <f t="shared" si="4"/>
        <v>1.4195442697657074E-3</v>
      </c>
      <c r="O38">
        <f t="shared" si="15"/>
        <v>0.3090715220815437</v>
      </c>
      <c r="P38">
        <f t="shared" si="16"/>
        <v>0.26284976186068149</v>
      </c>
      <c r="R38" s="94">
        <f t="shared" si="5"/>
        <v>345.20456298510885</v>
      </c>
      <c r="S38" s="94"/>
    </row>
    <row r="39" spans="6:19" x14ac:dyDescent="0.25">
      <c r="F39" s="38">
        <f t="shared" si="12"/>
        <v>-14</v>
      </c>
      <c r="G39">
        <f t="shared" si="17"/>
        <v>0.3090715220815437</v>
      </c>
      <c r="H39">
        <f t="shared" si="18"/>
        <v>0.26284976186068149</v>
      </c>
      <c r="I39">
        <f t="shared" si="0"/>
        <v>1.0513990474427259</v>
      </c>
      <c r="J39" s="38">
        <f t="shared" si="1"/>
        <v>0.24451140638202931</v>
      </c>
      <c r="K39">
        <f t="shared" si="14"/>
        <v>0.95111366367722916</v>
      </c>
      <c r="L39">
        <f t="shared" si="2"/>
        <v>4.6106890990495482E-2</v>
      </c>
      <c r="M39" s="31">
        <f t="shared" si="3"/>
        <v>1E-3</v>
      </c>
      <c r="N39">
        <f t="shared" si="4"/>
        <v>1.4142558318462613E-3</v>
      </c>
      <c r="O39">
        <f t="shared" si="15"/>
        <v>0.30927864999746685</v>
      </c>
      <c r="P39">
        <f t="shared" si="16"/>
        <v>0.26317175900697137</v>
      </c>
      <c r="R39" s="94">
        <f t="shared" si="5"/>
        <v>346.03756108991337</v>
      </c>
      <c r="S39" s="94"/>
    </row>
    <row r="40" spans="6:19" x14ac:dyDescent="0.25">
      <c r="F40" s="38">
        <f t="shared" si="12"/>
        <v>-14.5</v>
      </c>
      <c r="G40">
        <f t="shared" si="17"/>
        <v>0.30927864999746685</v>
      </c>
      <c r="H40">
        <f t="shared" si="18"/>
        <v>0.26317175900697137</v>
      </c>
      <c r="I40">
        <f t="shared" si="0"/>
        <v>1.0526870360278855</v>
      </c>
      <c r="J40" s="38">
        <f t="shared" si="1"/>
        <v>0.24481093861113618</v>
      </c>
      <c r="K40">
        <f t="shared" si="14"/>
        <v>0.94994995262154081</v>
      </c>
      <c r="L40">
        <f t="shared" si="2"/>
        <v>4.5994134173581426E-2</v>
      </c>
      <c r="M40" s="31">
        <f t="shared" si="3"/>
        <v>1E-3</v>
      </c>
      <c r="N40">
        <f t="shared" si="4"/>
        <v>1.4090710499247642E-3</v>
      </c>
      <c r="O40">
        <f t="shared" si="15"/>
        <v>0.3094831855224292</v>
      </c>
      <c r="P40">
        <f t="shared" si="16"/>
        <v>0.26348905134884776</v>
      </c>
      <c r="R40" s="94">
        <f t="shared" si="5"/>
        <v>346.85932409622649</v>
      </c>
      <c r="S40" s="94"/>
    </row>
    <row r="41" spans="6:19" x14ac:dyDescent="0.25">
      <c r="F41" s="38">
        <f t="shared" si="12"/>
        <v>-15</v>
      </c>
      <c r="G41">
        <f t="shared" si="17"/>
        <v>0.3094831855224292</v>
      </c>
      <c r="H41">
        <f t="shared" si="18"/>
        <v>0.26348905134884776</v>
      </c>
      <c r="I41">
        <f t="shared" si="0"/>
        <v>1.053956205395391</v>
      </c>
      <c r="J41" s="38">
        <f t="shared" si="1"/>
        <v>0.24510609427799793</v>
      </c>
      <c r="K41">
        <f t="shared" si="14"/>
        <v>0.94880602712031148</v>
      </c>
      <c r="L41">
        <f t="shared" si="2"/>
        <v>4.58834290061075E-2</v>
      </c>
      <c r="M41" s="31">
        <f t="shared" si="3"/>
        <v>1E-3</v>
      </c>
      <c r="N41">
        <f t="shared" si="4"/>
        <v>1.4039867860466202E-3</v>
      </c>
      <c r="O41">
        <f t="shared" si="15"/>
        <v>0.3096851789154525</v>
      </c>
      <c r="P41">
        <f t="shared" si="16"/>
        <v>0.26380174990934502</v>
      </c>
      <c r="R41" s="94">
        <f t="shared" si="5"/>
        <v>347.6700997161123</v>
      </c>
      <c r="S41" s="94"/>
    </row>
    <row r="42" spans="6:19" x14ac:dyDescent="0.25">
      <c r="F42" s="38">
        <f t="shared" si="12"/>
        <v>-15.5</v>
      </c>
      <c r="G42">
        <f t="shared" si="17"/>
        <v>0.3096851789154525</v>
      </c>
      <c r="H42">
        <f t="shared" si="18"/>
        <v>0.26380174990934502</v>
      </c>
      <c r="I42">
        <f t="shared" si="0"/>
        <v>1.0552069996373801</v>
      </c>
      <c r="J42" s="38">
        <f t="shared" si="1"/>
        <v>0.24539697665985585</v>
      </c>
      <c r="K42">
        <f t="shared" si="14"/>
        <v>0.94768135573745071</v>
      </c>
      <c r="L42">
        <f t="shared" si="2"/>
        <v>4.5774717227949673E-2</v>
      </c>
      <c r="M42" s="31">
        <f t="shared" si="3"/>
        <v>1E-3</v>
      </c>
      <c r="N42">
        <f t="shared" si="4"/>
        <v>1.3990000361148874E-3</v>
      </c>
      <c r="O42">
        <f t="shared" si="15"/>
        <v>0.30988467893350996</v>
      </c>
      <c r="P42">
        <f t="shared" si="16"/>
        <v>0.26410996170556028</v>
      </c>
      <c r="R42" s="94">
        <f t="shared" si="5"/>
        <v>348.47012701606178</v>
      </c>
      <c r="S42" s="94"/>
    </row>
    <row r="43" spans="6:19" x14ac:dyDescent="0.25">
      <c r="F43" s="38">
        <f t="shared" si="12"/>
        <v>-16</v>
      </c>
      <c r="G43">
        <f t="shared" si="17"/>
        <v>0.30988467893350996</v>
      </c>
      <c r="H43">
        <f t="shared" si="18"/>
        <v>0.26410996170556028</v>
      </c>
      <c r="I43">
        <f t="shared" si="0"/>
        <v>1.0564398468222411</v>
      </c>
      <c r="J43" s="38">
        <f t="shared" si="1"/>
        <v>0.24568368530749796</v>
      </c>
      <c r="K43">
        <f t="shared" si="14"/>
        <v>0.9465754278466384</v>
      </c>
      <c r="L43">
        <f t="shared" si="2"/>
        <v>4.5667942946128769E-2</v>
      </c>
      <c r="M43" s="31">
        <f t="shared" si="3"/>
        <v>1E-3</v>
      </c>
      <c r="N43">
        <f t="shared" si="4"/>
        <v>1.3941079224177235E-3</v>
      </c>
      <c r="O43">
        <f t="shared" si="15"/>
        <v>0.3100817328947188</v>
      </c>
      <c r="P43">
        <f t="shared" si="16"/>
        <v>0.26441378994859005</v>
      </c>
      <c r="R43" s="94">
        <f t="shared" si="5"/>
        <v>349.25963685072452</v>
      </c>
      <c r="S43" s="94"/>
    </row>
    <row r="44" spans="6:19" x14ac:dyDescent="0.25">
      <c r="F44" s="38">
        <f t="shared" si="12"/>
        <v>-16.5</v>
      </c>
      <c r="G44">
        <f t="shared" si="17"/>
        <v>0.3100817328947188</v>
      </c>
      <c r="H44">
        <f t="shared" si="18"/>
        <v>0.26441378994859005</v>
      </c>
      <c r="I44">
        <f t="shared" si="0"/>
        <v>1.0576551597943602</v>
      </c>
      <c r="J44" s="38">
        <f t="shared" si="1"/>
        <v>0.24596631623124657</v>
      </c>
      <c r="K44">
        <f t="shared" si="14"/>
        <v>0.94548775254349438</v>
      </c>
      <c r="L44">
        <f t="shared" si="2"/>
        <v>4.5563052508142098E-2</v>
      </c>
      <c r="M44" s="31">
        <f t="shared" si="3"/>
        <v>1E-3</v>
      </c>
      <c r="N44">
        <f t="shared" si="4"/>
        <v>1.38930768670696E-3</v>
      </c>
      <c r="O44">
        <f t="shared" si="15"/>
        <v>0.31027638673807229</v>
      </c>
      <c r="P44">
        <f t="shared" si="16"/>
        <v>0.26471333422993021</v>
      </c>
      <c r="R44" s="94">
        <f t="shared" si="5"/>
        <v>350.03885226292937</v>
      </c>
      <c r="S44" s="94"/>
    </row>
    <row r="45" spans="6:19" x14ac:dyDescent="0.25">
      <c r="F45" s="38">
        <f t="shared" si="12"/>
        <v>-17</v>
      </c>
      <c r="G45">
        <f t="shared" si="17"/>
        <v>0.31027638673807229</v>
      </c>
      <c r="H45">
        <f t="shared" si="18"/>
        <v>0.26471333422993021</v>
      </c>
      <c r="I45">
        <f t="shared" si="0"/>
        <v>1.0588533369197208</v>
      </c>
      <c r="J45" s="38">
        <f t="shared" si="1"/>
        <v>0.2462449620743537</v>
      </c>
      <c r="K45">
        <f t="shared" si="14"/>
        <v>0.94441785763179498</v>
      </c>
      <c r="L45">
        <f t="shared" si="2"/>
        <v>4.5459994383987221E-2</v>
      </c>
      <c r="M45" s="31">
        <f t="shared" si="3"/>
        <v>1E-3</v>
      </c>
      <c r="N45">
        <f t="shared" si="4"/>
        <v>1.3845966837565361E-3</v>
      </c>
      <c r="O45">
        <f t="shared" si="15"/>
        <v>0.31046868507995057</v>
      </c>
      <c r="P45">
        <f t="shared" si="16"/>
        <v>0.26500869069596333</v>
      </c>
      <c r="R45" s="94">
        <f t="shared" si="5"/>
        <v>350.80798885655366</v>
      </c>
      <c r="S45" s="94"/>
    </row>
    <row r="46" spans="6:19" x14ac:dyDescent="0.25">
      <c r="F46" s="38">
        <f t="shared" si="12"/>
        <v>-17.5</v>
      </c>
      <c r="G46">
        <f t="shared" si="17"/>
        <v>0.31046868507995057</v>
      </c>
      <c r="H46">
        <f t="shared" si="18"/>
        <v>0.26500869069596333</v>
      </c>
      <c r="I46">
        <f t="shared" si="0"/>
        <v>1.0600347627838533</v>
      </c>
      <c r="J46" s="38">
        <f t="shared" si="1"/>
        <v>0.24651971227531475</v>
      </c>
      <c r="K46">
        <f t="shared" si="14"/>
        <v>0.94336528867582548</v>
      </c>
      <c r="L46">
        <f t="shared" si="2"/>
        <v>4.5358719055984889E-2</v>
      </c>
      <c r="M46" s="31">
        <f t="shared" si="3"/>
        <v>1E-3</v>
      </c>
      <c r="N46">
        <f t="shared" si="4"/>
        <v>1.3799723753529288E-3</v>
      </c>
      <c r="O46">
        <f t="shared" si="15"/>
        <v>0.31065867126762703</v>
      </c>
      <c r="P46">
        <f t="shared" si="16"/>
        <v>0.26529995221164215</v>
      </c>
      <c r="R46" s="94">
        <f t="shared" si="5"/>
        <v>351.56725514574015</v>
      </c>
      <c r="S46" s="94"/>
    </row>
    <row r="47" spans="6:19" x14ac:dyDescent="0.25">
      <c r="F47" s="38">
        <f t="shared" si="12"/>
        <v>-18</v>
      </c>
      <c r="G47">
        <f t="shared" si="17"/>
        <v>0.31065867126762703</v>
      </c>
      <c r="H47">
        <f t="shared" si="18"/>
        <v>0.26529995221164215</v>
      </c>
      <c r="I47">
        <f t="shared" si="0"/>
        <v>1.0611998088465686</v>
      </c>
      <c r="J47" s="38">
        <f t="shared" si="1"/>
        <v>0.24679065322013224</v>
      </c>
      <c r="K47">
        <f t="shared" si="14"/>
        <v>0.94232960811302124</v>
      </c>
      <c r="L47">
        <f t="shared" si="2"/>
        <v>4.5259178915720705E-2</v>
      </c>
      <c r="M47" s="31">
        <f t="shared" si="3"/>
        <v>1E-3</v>
      </c>
      <c r="N47">
        <f t="shared" si="4"/>
        <v>1.3754323246801745E-3</v>
      </c>
      <c r="O47">
        <f t="shared" si="15"/>
        <v>0.31084638742996712</v>
      </c>
      <c r="P47">
        <f t="shared" si="16"/>
        <v>0.26558720851424644</v>
      </c>
      <c r="R47" s="94">
        <f t="shared" si="5"/>
        <v>352.31685288274963</v>
      </c>
      <c r="S47" s="94"/>
    </row>
    <row r="48" spans="6:19" x14ac:dyDescent="0.25">
      <c r="F48" s="38">
        <f t="shared" si="12"/>
        <v>-18.5</v>
      </c>
      <c r="G48">
        <f t="shared" si="17"/>
        <v>0.31084638742996712</v>
      </c>
      <c r="H48">
        <f t="shared" si="18"/>
        <v>0.26558720851424644</v>
      </c>
      <c r="I48">
        <f t="shared" si="0"/>
        <v>1.0623488340569858</v>
      </c>
      <c r="J48" s="38">
        <f t="shared" si="1"/>
        <v>0.24705786838534555</v>
      </c>
      <c r="K48">
        <f t="shared" si="14"/>
        <v>0.94131039442206299</v>
      </c>
      <c r="L48">
        <f t="shared" si="2"/>
        <v>4.5161328167534133E-2</v>
      </c>
      <c r="M48" s="31">
        <f t="shared" si="3"/>
        <v>1E-3</v>
      </c>
      <c r="N48">
        <f t="shared" si="4"/>
        <v>1.3709741910676863E-3</v>
      </c>
      <c r="O48">
        <f t="shared" si="15"/>
        <v>0.31103187452550096</v>
      </c>
      <c r="P48">
        <f t="shared" si="16"/>
        <v>0.26587054635796681</v>
      </c>
      <c r="R48" s="94">
        <f t="shared" si="5"/>
        <v>353.05697736620419</v>
      </c>
      <c r="S48" s="94"/>
    </row>
    <row r="49" spans="6:19" x14ac:dyDescent="0.25">
      <c r="F49">
        <f>F48+$B$9</f>
        <v>-19</v>
      </c>
      <c r="G49">
        <f t="shared" si="17"/>
        <v>0.31103187452550096</v>
      </c>
      <c r="H49">
        <f t="shared" si="18"/>
        <v>0.26587054635796681</v>
      </c>
      <c r="I49">
        <f t="shared" si="0"/>
        <v>1.0634821854318672</v>
      </c>
      <c r="J49">
        <f t="shared" si="1"/>
        <v>0.24732143847252727</v>
      </c>
      <c r="K49">
        <f>$B$5/I49</f>
        <v>0.94030724134218768</v>
      </c>
      <c r="L49">
        <f t="shared" si="2"/>
        <v>4.5065122738050724E-2</v>
      </c>
      <c r="M49" s="31">
        <f t="shared" si="3"/>
        <v>1E-3</v>
      </c>
      <c r="N49">
        <f t="shared" si="4"/>
        <v>1.366595725072675E-3</v>
      </c>
      <c r="O49">
        <f>G49+$B$9*(M49-N49)</f>
        <v>0.31121517238803731</v>
      </c>
      <c r="P49">
        <f>O49-L49</f>
        <v>0.26615004964998656</v>
      </c>
      <c r="R49" s="94">
        <f t="shared" si="5"/>
        <v>353.78781773121284</v>
      </c>
      <c r="S49" s="94"/>
    </row>
    <row r="50" spans="6:19" x14ac:dyDescent="0.25">
      <c r="F50">
        <f>F49+$B$9</f>
        <v>-19.5</v>
      </c>
      <c r="G50">
        <f t="shared" si="17"/>
        <v>0.31121517238803731</v>
      </c>
      <c r="H50">
        <f t="shared" si="18"/>
        <v>0.26615004964998656</v>
      </c>
      <c r="I50">
        <f t="shared" si="0"/>
        <v>1.0646001985999463</v>
      </c>
      <c r="J50">
        <f t="shared" si="1"/>
        <v>0.24758144153487124</v>
      </c>
      <c r="K50">
        <f>$B$5/I50</f>
        <v>0.93931975713990856</v>
      </c>
      <c r="L50">
        <f t="shared" si="2"/>
        <v>4.4970520191303612E-2</v>
      </c>
      <c r="M50" s="31">
        <f t="shared" si="3"/>
        <v>1E-3</v>
      </c>
      <c r="N50">
        <f t="shared" si="4"/>
        <v>1.3622947638717588E-3</v>
      </c>
      <c r="O50">
        <f>G50+$B$9*(M50-N50)</f>
        <v>0.31139631976997317</v>
      </c>
      <c r="P50">
        <f>O50-L50</f>
        <v>0.26642579957866958</v>
      </c>
      <c r="R50" s="94">
        <f t="shared" si="5"/>
        <v>354.50955722269691</v>
      </c>
      <c r="S50" s="94"/>
    </row>
    <row r="51" spans="6:19" x14ac:dyDescent="0.25">
      <c r="F51">
        <f t="shared" ref="F51:F111" si="19">F50+$B$9</f>
        <v>-20</v>
      </c>
      <c r="G51">
        <f t="shared" ref="G51:G95" si="20">O50</f>
        <v>0.31139631976997317</v>
      </c>
      <c r="H51">
        <f t="shared" ref="H51:H95" si="21">P50</f>
        <v>0.26642579957866958</v>
      </c>
      <c r="I51">
        <f t="shared" si="0"/>
        <v>1.0657031983146783</v>
      </c>
      <c r="J51">
        <f t="shared" si="1"/>
        <v>0.24783795309643683</v>
      </c>
      <c r="K51">
        <f t="shared" ref="K51:K95" si="22">$B$5/I51</f>
        <v>0.93834756391968932</v>
      </c>
      <c r="L51">
        <f t="shared" si="2"/>
        <v>4.4877479649032388E-2</v>
      </c>
      <c r="M51" s="31">
        <f t="shared" si="3"/>
        <v>1E-3</v>
      </c>
      <c r="N51">
        <f t="shared" si="4"/>
        <v>1.3580692269386805E-3</v>
      </c>
      <c r="O51">
        <f t="shared" ref="O51:O95" si="23">G51+$B$9*(M51-N51)</f>
        <v>0.31157535438344253</v>
      </c>
      <c r="P51">
        <f t="shared" ref="P51:P95" si="24">O51-L51</f>
        <v>0.26669787473441015</v>
      </c>
      <c r="R51" s="94">
        <f t="shared" si="5"/>
        <v>355.22237345310782</v>
      </c>
      <c r="S51" s="94"/>
    </row>
    <row r="52" spans="6:19" x14ac:dyDescent="0.25">
      <c r="F52">
        <f t="shared" si="19"/>
        <v>-20.5</v>
      </c>
      <c r="G52">
        <f t="shared" si="20"/>
        <v>0.31157535438344253</v>
      </c>
      <c r="H52">
        <f t="shared" si="21"/>
        <v>0.26669787473441015</v>
      </c>
      <c r="I52">
        <f t="shared" si="0"/>
        <v>1.0667914989376406</v>
      </c>
      <c r="J52">
        <f t="shared" si="1"/>
        <v>0.2480910462645676</v>
      </c>
      <c r="K52">
        <f t="shared" si="22"/>
        <v>0.93739029697541221</v>
      </c>
      <c r="L52">
        <f t="shared" si="2"/>
        <v>4.4785961715782439E-2</v>
      </c>
      <c r="M52" s="31">
        <f t="shared" si="3"/>
        <v>1E-3</v>
      </c>
      <c r="N52">
        <f t="shared" si="4"/>
        <v>1.3539171119870473E-3</v>
      </c>
      <c r="O52">
        <f t="shared" si="23"/>
        <v>0.31175231293943606</v>
      </c>
      <c r="P52">
        <f t="shared" si="24"/>
        <v>0.26696635122365364</v>
      </c>
      <c r="R52" s="94">
        <f t="shared" si="5"/>
        <v>355.92643864562746</v>
      </c>
      <c r="S52" s="94"/>
    </row>
    <row r="53" spans="6:19" x14ac:dyDescent="0.25">
      <c r="F53">
        <f t="shared" si="19"/>
        <v>-21</v>
      </c>
      <c r="G53">
        <f t="shared" si="20"/>
        <v>0.31175231293943606</v>
      </c>
      <c r="H53">
        <f t="shared" si="21"/>
        <v>0.26696635122365364</v>
      </c>
      <c r="I53">
        <f t="shared" si="0"/>
        <v>1.0678654048946146</v>
      </c>
      <c r="J53">
        <f t="shared" si="1"/>
        <v>0.24834079183595689</v>
      </c>
      <c r="K53">
        <f t="shared" si="22"/>
        <v>0.93644760417974959</v>
      </c>
      <c r="L53">
        <f t="shared" si="2"/>
        <v>4.4695928408460393E-2</v>
      </c>
      <c r="M53" s="31">
        <f t="shared" si="3"/>
        <v>1E-3</v>
      </c>
      <c r="N53">
        <f t="shared" si="4"/>
        <v>1.3498364911588277E-3</v>
      </c>
      <c r="O53">
        <f t="shared" si="23"/>
        <v>0.31192723118501547</v>
      </c>
      <c r="P53">
        <f t="shared" si="24"/>
        <v>0.2672313027765551</v>
      </c>
      <c r="R53" s="94">
        <f t="shared" si="5"/>
        <v>356.62191986384761</v>
      </c>
      <c r="S53" s="94"/>
    </row>
    <row r="54" spans="6:19" x14ac:dyDescent="0.25">
      <c r="F54">
        <f t="shared" si="19"/>
        <v>-21.5</v>
      </c>
      <c r="G54">
        <f t="shared" si="20"/>
        <v>0.31192723118501547</v>
      </c>
      <c r="H54">
        <f t="shared" si="21"/>
        <v>0.2672313027765551</v>
      </c>
      <c r="I54">
        <f t="shared" si="0"/>
        <v>1.0689252111062204</v>
      </c>
      <c r="J54">
        <f t="shared" si="1"/>
        <v>0.24858725839679546</v>
      </c>
      <c r="K54">
        <f t="shared" si="22"/>
        <v>0.93551914540878833</v>
      </c>
      <c r="L54">
        <f t="shared" si="2"/>
        <v>4.4607343090030054E-2</v>
      </c>
      <c r="M54" s="31">
        <f t="shared" si="3"/>
        <v>1E-3</v>
      </c>
      <c r="N54">
        <f t="shared" si="4"/>
        <v>1.3458255074409644E-3</v>
      </c>
      <c r="O54">
        <f t="shared" si="23"/>
        <v>0.31210014393873597</v>
      </c>
      <c r="P54">
        <f t="shared" si="24"/>
        <v>0.26749280084870591</v>
      </c>
      <c r="R54" s="94">
        <f t="shared" si="5"/>
        <v>357.30897922884509</v>
      </c>
      <c r="S54" s="94"/>
    </row>
    <row r="55" spans="6:19" x14ac:dyDescent="0.25">
      <c r="F55">
        <f t="shared" si="19"/>
        <v>-22</v>
      </c>
      <c r="G55">
        <f t="shared" si="20"/>
        <v>0.31210014393873597</v>
      </c>
      <c r="H55">
        <f t="shared" si="21"/>
        <v>0.26749280084870591</v>
      </c>
      <c r="I55">
        <f t="shared" si="0"/>
        <v>1.0699712033948237</v>
      </c>
      <c r="J55">
        <f t="shared" si="1"/>
        <v>0.24883051241740087</v>
      </c>
      <c r="K55">
        <f t="shared" si="22"/>
        <v>0.93460459199946899</v>
      </c>
      <c r="L55">
        <f t="shared" si="2"/>
        <v>4.4520170407058808E-2</v>
      </c>
      <c r="M55" s="31">
        <f t="shared" si="3"/>
        <v>1E-3</v>
      </c>
      <c r="N55">
        <f t="shared" si="4"/>
        <v>1.3418823712939118E-3</v>
      </c>
      <c r="O55">
        <f t="shared" si="23"/>
        <v>0.31227108512438295</v>
      </c>
      <c r="P55">
        <f t="shared" si="24"/>
        <v>0.26775091471732415</v>
      </c>
      <c r="R55" s="94">
        <f t="shared" si="5"/>
        <v>357.98777412449698</v>
      </c>
      <c r="S55" s="94"/>
    </row>
    <row r="56" spans="6:19" x14ac:dyDescent="0.25">
      <c r="F56">
        <f t="shared" si="19"/>
        <v>-22.5</v>
      </c>
      <c r="G56">
        <f t="shared" si="20"/>
        <v>0.31227108512438295</v>
      </c>
      <c r="H56">
        <f t="shared" si="21"/>
        <v>0.26775091471732415</v>
      </c>
      <c r="I56">
        <f t="shared" si="0"/>
        <v>1.0710036588692966</v>
      </c>
      <c r="J56">
        <f t="shared" si="1"/>
        <v>0.24907061834169689</v>
      </c>
      <c r="K56">
        <f t="shared" si="22"/>
        <v>0.93370362623760017</v>
      </c>
      <c r="L56">
        <f t="shared" si="2"/>
        <v>4.4434376230848324E-2</v>
      </c>
      <c r="M56" s="31">
        <f t="shared" si="3"/>
        <v>1E-3</v>
      </c>
      <c r="N56">
        <f t="shared" si="4"/>
        <v>1.3380053574772524E-3</v>
      </c>
      <c r="O56">
        <f t="shared" si="23"/>
        <v>0.3124400878031216</v>
      </c>
      <c r="P56">
        <f t="shared" si="24"/>
        <v>0.26800571157227326</v>
      </c>
      <c r="R56" s="94">
        <f t="shared" si="5"/>
        <v>358.65845739181071</v>
      </c>
      <c r="S56" s="94"/>
    </row>
    <row r="57" spans="6:19" x14ac:dyDescent="0.25">
      <c r="F57">
        <f t="shared" si="19"/>
        <v>-23</v>
      </c>
      <c r="G57">
        <f t="shared" si="20"/>
        <v>0.3124400878031216</v>
      </c>
      <c r="H57">
        <f t="shared" si="21"/>
        <v>0.26800571157227326</v>
      </c>
      <c r="I57">
        <f t="shared" si="0"/>
        <v>1.0720228462890931</v>
      </c>
      <c r="J57">
        <f t="shared" si="1"/>
        <v>0.2493076386718821</v>
      </c>
      <c r="K57">
        <f t="shared" si="22"/>
        <v>0.93281594087438824</v>
      </c>
      <c r="L57">
        <f t="shared" si="2"/>
        <v>4.4349927601904697E-2</v>
      </c>
      <c r="M57" s="31">
        <f t="shared" si="3"/>
        <v>1E-3</v>
      </c>
      <c r="N57">
        <f t="shared" si="4"/>
        <v>1.3341928020587357E-3</v>
      </c>
      <c r="O57">
        <f t="shared" si="23"/>
        <v>0.31260718420415096</v>
      </c>
      <c r="P57">
        <f t="shared" si="24"/>
        <v>0.26825725660224625</v>
      </c>
      <c r="R57" s="94">
        <f t="shared" si="5"/>
        <v>359.32117751298631</v>
      </c>
      <c r="S57" s="94"/>
    </row>
    <row r="58" spans="6:19" x14ac:dyDescent="0.25">
      <c r="F58">
        <f t="shared" si="19"/>
        <v>-23.5</v>
      </c>
      <c r="G58">
        <f t="shared" si="20"/>
        <v>0.31260718420415096</v>
      </c>
      <c r="H58">
        <f t="shared" si="21"/>
        <v>0.26825725660224625</v>
      </c>
      <c r="I58">
        <f t="shared" si="0"/>
        <v>1.073029026408985</v>
      </c>
      <c r="J58">
        <f t="shared" si="1"/>
        <v>0.24954163404860116</v>
      </c>
      <c r="K58">
        <f t="shared" si="22"/>
        <v>0.93194123866957723</v>
      </c>
      <c r="L58">
        <f t="shared" si="2"/>
        <v>4.4266792677522218E-2</v>
      </c>
      <c r="M58" s="31">
        <f t="shared" si="3"/>
        <v>1E-3</v>
      </c>
      <c r="N58">
        <f t="shared" si="4"/>
        <v>1.3304430995941764E-3</v>
      </c>
      <c r="O58">
        <f t="shared" si="23"/>
        <v>0.31277240575394805</v>
      </c>
      <c r="P58">
        <f t="shared" si="24"/>
        <v>0.26850561307642584</v>
      </c>
      <c r="R58" s="94">
        <f t="shared" si="5"/>
        <v>359.97607878587405</v>
      </c>
      <c r="S58" s="94"/>
    </row>
    <row r="59" spans="6:19" x14ac:dyDescent="0.25">
      <c r="F59">
        <f t="shared" si="19"/>
        <v>-24</v>
      </c>
      <c r="G59">
        <f t="shared" si="20"/>
        <v>0.31277240575394805</v>
      </c>
      <c r="H59">
        <f t="shared" si="21"/>
        <v>0.26850561307642584</v>
      </c>
      <c r="I59">
        <f t="shared" si="0"/>
        <v>1.0740224523057034</v>
      </c>
      <c r="J59">
        <f t="shared" si="1"/>
        <v>0.24977266332690776</v>
      </c>
      <c r="K59">
        <f t="shared" si="22"/>
        <v>0.93107923195945064</v>
      </c>
      <c r="L59">
        <f t="shared" si="2"/>
        <v>4.4184940682273209E-2</v>
      </c>
      <c r="M59" s="31">
        <f t="shared" si="3"/>
        <v>1E-3</v>
      </c>
      <c r="N59">
        <f t="shared" si="4"/>
        <v>1.3267547004666505E-3</v>
      </c>
      <c r="O59">
        <f t="shared" si="23"/>
        <v>0.31293578310418135</v>
      </c>
      <c r="P59">
        <f t="shared" si="24"/>
        <v>0.26875084242190816</v>
      </c>
      <c r="R59" s="94">
        <f t="shared" si="5"/>
        <v>360.62330148943505</v>
      </c>
      <c r="S59" s="94"/>
    </row>
    <row r="60" spans="6:19" x14ac:dyDescent="0.25">
      <c r="F60">
        <f t="shared" si="19"/>
        <v>-24.5</v>
      </c>
      <c r="G60">
        <f t="shared" si="20"/>
        <v>0.31293578310418135</v>
      </c>
      <c r="H60">
        <f t="shared" si="21"/>
        <v>0.26875084242190816</v>
      </c>
      <c r="I60">
        <f t="shared" si="0"/>
        <v>1.0750033696876327</v>
      </c>
      <c r="J60">
        <f t="shared" si="1"/>
        <v>0.25000078364828665</v>
      </c>
      <c r="K60">
        <f t="shared" si="22"/>
        <v>0.93022964224807347</v>
      </c>
      <c r="L60">
        <f t="shared" si="2"/>
        <v>4.4104341861211961E-2</v>
      </c>
      <c r="M60" s="31">
        <f t="shared" si="3"/>
        <v>1E-3</v>
      </c>
      <c r="N60">
        <f t="shared" si="4"/>
        <v>1.3231261083743275E-3</v>
      </c>
      <c r="O60">
        <f t="shared" si="23"/>
        <v>0.31309734615836854</v>
      </c>
      <c r="P60">
        <f t="shared" si="24"/>
        <v>0.26899300429715656</v>
      </c>
      <c r="R60" s="94">
        <f t="shared" si="5"/>
        <v>361.26298204077403</v>
      </c>
      <c r="S60" s="94"/>
    </row>
    <row r="61" spans="6:19" x14ac:dyDescent="0.25">
      <c r="F61">
        <f t="shared" si="19"/>
        <v>-25</v>
      </c>
      <c r="G61">
        <f t="shared" si="20"/>
        <v>0.31309734615836854</v>
      </c>
      <c r="H61">
        <f t="shared" si="21"/>
        <v>0.26899300429715656</v>
      </c>
      <c r="I61">
        <f t="shared" si="0"/>
        <v>1.0759720171886262</v>
      </c>
      <c r="J61">
        <f t="shared" si="1"/>
        <v>0.25022605050898283</v>
      </c>
      <c r="K61">
        <f t="shared" si="22"/>
        <v>0.92939219982027865</v>
      </c>
      <c r="L61">
        <f t="shared" si="2"/>
        <v>4.4024967435615535E-2</v>
      </c>
      <c r="M61" s="31">
        <f t="shared" si="3"/>
        <v>1E-3</v>
      </c>
      <c r="N61">
        <f t="shared" si="4"/>
        <v>1.319555877957092E-3</v>
      </c>
      <c r="O61">
        <f t="shared" si="23"/>
        <v>0.31325712409734707</v>
      </c>
      <c r="P61">
        <f t="shared" si="24"/>
        <v>0.26923215666173156</v>
      </c>
      <c r="R61" s="94">
        <f t="shared" si="5"/>
        <v>361.89525314426555</v>
      </c>
      <c r="S61" s="94"/>
    </row>
    <row r="62" spans="6:19" x14ac:dyDescent="0.25">
      <c r="F62">
        <f t="shared" si="19"/>
        <v>-25.5</v>
      </c>
      <c r="G62">
        <f t="shared" si="20"/>
        <v>0.31325712409734707</v>
      </c>
      <c r="H62">
        <f t="shared" si="21"/>
        <v>0.26923215666173156</v>
      </c>
      <c r="I62">
        <f t="shared" si="0"/>
        <v>1.0769286266469262</v>
      </c>
      <c r="J62">
        <f t="shared" si="1"/>
        <v>0.2504485178248666</v>
      </c>
      <c r="K62">
        <f t="shared" si="22"/>
        <v>0.92856664337501404</v>
      </c>
      <c r="L62">
        <f t="shared" si="2"/>
        <v>4.3946789561097883E-2</v>
      </c>
      <c r="M62" s="31">
        <f t="shared" si="3"/>
        <v>1E-3</v>
      </c>
      <c r="N62">
        <f t="shared" si="4"/>
        <v>1.3160426125528807E-3</v>
      </c>
      <c r="O62">
        <f t="shared" si="23"/>
        <v>0.31341514540362353</v>
      </c>
      <c r="P62">
        <f t="shared" si="24"/>
        <v>0.26946835584252565</v>
      </c>
      <c r="R62" s="94">
        <f t="shared" si="5"/>
        <v>362.5202439332607</v>
      </c>
      <c r="S62" s="94"/>
    </row>
    <row r="63" spans="6:19" x14ac:dyDescent="0.25">
      <c r="F63">
        <f t="shared" si="19"/>
        <v>-26</v>
      </c>
      <c r="G63">
        <f t="shared" si="20"/>
        <v>0.31341514540362353</v>
      </c>
      <c r="H63">
        <f t="shared" si="21"/>
        <v>0.26946835584252565</v>
      </c>
      <c r="I63">
        <f t="shared" si="0"/>
        <v>1.0778734233701026</v>
      </c>
      <c r="J63">
        <f t="shared" si="1"/>
        <v>0.2506682379930471</v>
      </c>
      <c r="K63">
        <f t="shared" si="22"/>
        <v>0.92775271967776896</v>
      </c>
      <c r="L63">
        <f t="shared" si="2"/>
        <v>4.3869781287945817E-2</v>
      </c>
      <c r="M63" s="31">
        <f t="shared" si="3"/>
        <v>1E-3</v>
      </c>
      <c r="N63">
        <f t="shared" si="4"/>
        <v>1.3125849620753303E-3</v>
      </c>
      <c r="O63">
        <f t="shared" si="23"/>
        <v>0.31357143788466119</v>
      </c>
      <c r="P63">
        <f t="shared" si="24"/>
        <v>0.26970165659671536</v>
      </c>
      <c r="R63" s="94">
        <f t="shared" si="5"/>
        <v>363.13808010482251</v>
      </c>
      <c r="S63" s="94"/>
    </row>
    <row r="64" spans="6:19" x14ac:dyDescent="0.25">
      <c r="F64">
        <f t="shared" si="19"/>
        <v>-26.5</v>
      </c>
      <c r="G64">
        <f t="shared" si="20"/>
        <v>0.31357143788466119</v>
      </c>
      <c r="H64">
        <f t="shared" si="21"/>
        <v>0.26970165659671536</v>
      </c>
      <c r="I64">
        <f t="shared" si="0"/>
        <v>1.0788066263868614</v>
      </c>
      <c r="J64">
        <f t="shared" si="1"/>
        <v>0.25088526195043293</v>
      </c>
      <c r="K64">
        <f t="shared" si="22"/>
        <v>0.92695018323089051</v>
      </c>
      <c r="L64">
        <f t="shared" si="2"/>
        <v>4.3793916523536265E-2</v>
      </c>
      <c r="M64" s="31">
        <f t="shared" si="3"/>
        <v>1E-3</v>
      </c>
      <c r="N64">
        <f t="shared" si="4"/>
        <v>1.3091816210049608E-3</v>
      </c>
      <c r="O64">
        <f t="shared" si="23"/>
        <v>0.31372602869516364</v>
      </c>
      <c r="P64">
        <f t="shared" si="24"/>
        <v>0.26993211217162738</v>
      </c>
      <c r="R64" s="94">
        <f t="shared" si="5"/>
        <v>363.74888404791147</v>
      </c>
      <c r="S64" s="94"/>
    </row>
    <row r="65" spans="6:19" x14ac:dyDescent="0.25">
      <c r="F65">
        <f t="shared" si="19"/>
        <v>-27</v>
      </c>
      <c r="G65">
        <f t="shared" si="20"/>
        <v>0.31372602869516364</v>
      </c>
      <c r="H65">
        <f t="shared" si="21"/>
        <v>0.26993211217162738</v>
      </c>
      <c r="I65">
        <f t="shared" si="0"/>
        <v>1.0797284486865095</v>
      </c>
      <c r="J65">
        <f t="shared" si="1"/>
        <v>0.25109963922942086</v>
      </c>
      <c r="K65">
        <f t="shared" si="22"/>
        <v>0.92615879596068873</v>
      </c>
      <c r="L65">
        <f t="shared" si="2"/>
        <v>4.3719169996705026E-2</v>
      </c>
      <c r="M65" s="31">
        <f t="shared" si="3"/>
        <v>1E-3</v>
      </c>
      <c r="N65">
        <f t="shared" si="4"/>
        <v>1.3058313264867048E-3</v>
      </c>
      <c r="O65">
        <f t="shared" si="23"/>
        <v>0.31387894435840696</v>
      </c>
      <c r="P65">
        <f t="shared" si="24"/>
        <v>0.27015977436170191</v>
      </c>
      <c r="R65" s="94">
        <f t="shared" si="5"/>
        <v>364.3527749654063</v>
      </c>
      <c r="S65" s="94"/>
    </row>
    <row r="66" spans="6:19" x14ac:dyDescent="0.25">
      <c r="F66">
        <f t="shared" si="19"/>
        <v>-27.5</v>
      </c>
      <c r="G66">
        <f t="shared" si="20"/>
        <v>0.31387894435840696</v>
      </c>
      <c r="H66">
        <f t="shared" si="21"/>
        <v>0.27015977436170191</v>
      </c>
      <c r="I66">
        <f t="shared" si="0"/>
        <v>1.0806390974468076</v>
      </c>
      <c r="J66">
        <f t="shared" si="1"/>
        <v>0.25131141801088552</v>
      </c>
      <c r="K66">
        <f t="shared" si="22"/>
        <v>0.9253783269203093</v>
      </c>
      <c r="L66">
        <f t="shared" si="2"/>
        <v>4.3645517223946523E-2</v>
      </c>
      <c r="M66" s="31">
        <f t="shared" si="3"/>
        <v>1E-3</v>
      </c>
      <c r="N66">
        <f t="shared" si="4"/>
        <v>1.3025328565271163E-3</v>
      </c>
      <c r="O66">
        <f t="shared" si="23"/>
        <v>0.31403021078667054</v>
      </c>
      <c r="P66">
        <f t="shared" si="24"/>
        <v>0.27038469356272399</v>
      </c>
      <c r="R66" s="94">
        <f t="shared" si="5"/>
        <v>364.94986899032403</v>
      </c>
      <c r="S66" s="94"/>
    </row>
    <row r="67" spans="6:19" x14ac:dyDescent="0.25">
      <c r="F67">
        <f t="shared" si="19"/>
        <v>-28</v>
      </c>
      <c r="G67">
        <f t="shared" si="20"/>
        <v>0.31403021078667054</v>
      </c>
      <c r="H67">
        <f t="shared" si="21"/>
        <v>0.27038469356272399</v>
      </c>
      <c r="I67">
        <f t="shared" si="0"/>
        <v>1.081538774250896</v>
      </c>
      <c r="J67">
        <f t="shared" si="1"/>
        <v>0.25152064517462697</v>
      </c>
      <c r="K67">
        <f t="shared" si="22"/>
        <v>0.9246085520074192</v>
      </c>
      <c r="L67">
        <f t="shared" si="2"/>
        <v>4.3572934477332133E-2</v>
      </c>
      <c r="M67" s="31">
        <f t="shared" si="3"/>
        <v>1E-3</v>
      </c>
      <c r="N67">
        <f t="shared" si="4"/>
        <v>1.2992850282850569E-3</v>
      </c>
      <c r="O67">
        <f t="shared" si="23"/>
        <v>0.31417985330081305</v>
      </c>
      <c r="P67">
        <f t="shared" si="24"/>
        <v>0.27060691882348092</v>
      </c>
      <c r="R67" s="94">
        <f t="shared" si="5"/>
        <v>365.54027929657519</v>
      </c>
      <c r="S67" s="94"/>
    </row>
    <row r="68" spans="6:19" x14ac:dyDescent="0.25">
      <c r="F68">
        <f t="shared" si="19"/>
        <v>-28.5</v>
      </c>
      <c r="G68">
        <f t="shared" si="20"/>
        <v>0.31417985330081305</v>
      </c>
      <c r="H68">
        <f t="shared" si="21"/>
        <v>0.27060691882348092</v>
      </c>
      <c r="I68">
        <f t="shared" si="0"/>
        <v>1.0824276752939237</v>
      </c>
      <c r="J68">
        <f t="shared" si="1"/>
        <v>0.25172736634742415</v>
      </c>
      <c r="K68">
        <f t="shared" si="22"/>
        <v>0.92384925369582671</v>
      </c>
      <c r="L68">
        <f t="shared" si="2"/>
        <v>4.3501398754043623E-2</v>
      </c>
      <c r="M68" s="31">
        <f t="shared" si="3"/>
        <v>1E-3</v>
      </c>
      <c r="N68">
        <f t="shared" si="4"/>
        <v>1.2960866964501403E-3</v>
      </c>
      <c r="O68">
        <f t="shared" si="23"/>
        <v>0.3143278966490381</v>
      </c>
      <c r="P68">
        <f t="shared" si="24"/>
        <v>0.27082649789499447</v>
      </c>
      <c r="R68" s="94">
        <f t="shared" si="5"/>
        <v>366.12411620456652</v>
      </c>
      <c r="S68" s="94"/>
    </row>
    <row r="69" spans="6:19" x14ac:dyDescent="0.25">
      <c r="F69">
        <f t="shared" si="19"/>
        <v>-29</v>
      </c>
      <c r="G69">
        <f t="shared" si="20"/>
        <v>0.3143278966490381</v>
      </c>
      <c r="H69">
        <f t="shared" si="21"/>
        <v>0.27082649789499447</v>
      </c>
      <c r="I69">
        <f t="shared" si="0"/>
        <v>1.0833059915799779</v>
      </c>
      <c r="J69">
        <f t="shared" si="1"/>
        <v>0.25193162594883206</v>
      </c>
      <c r="K69">
        <f t="shared" si="22"/>
        <v>0.92310022078020826</v>
      </c>
      <c r="L69">
        <f t="shared" si="2"/>
        <v>4.3430887747424526E-2</v>
      </c>
      <c r="M69" s="31">
        <f t="shared" si="3"/>
        <v>1E-3</v>
      </c>
      <c r="N69">
        <f t="shared" si="4"/>
        <v>1.2929367517035787E-3</v>
      </c>
      <c r="O69">
        <f t="shared" si="23"/>
        <v>0.3144743650248899</v>
      </c>
      <c r="P69">
        <f t="shared" si="24"/>
        <v>0.27104347727746536</v>
      </c>
      <c r="R69" s="94">
        <f t="shared" si="5"/>
        <v>366.70148728194533</v>
      </c>
      <c r="S69" s="94"/>
    </row>
    <row r="70" spans="6:19" x14ac:dyDescent="0.25">
      <c r="F70">
        <f t="shared" si="19"/>
        <v>-29.5</v>
      </c>
      <c r="G70">
        <f t="shared" si="20"/>
        <v>0.3144743650248899</v>
      </c>
      <c r="H70">
        <f t="shared" si="21"/>
        <v>0.27104347727746536</v>
      </c>
      <c r="I70">
        <f t="shared" si="0"/>
        <v>1.0841739091098614</v>
      </c>
      <c r="J70">
        <f t="shared" si="1"/>
        <v>0.25213346723485153</v>
      </c>
      <c r="K70">
        <f t="shared" si="22"/>
        <v>0.92236124813317943</v>
      </c>
      <c r="L70">
        <f t="shared" si="2"/>
        <v>4.3361379819459561E-2</v>
      </c>
      <c r="M70" s="31">
        <f t="shared" si="3"/>
        <v>1E-3</v>
      </c>
      <c r="N70">
        <f t="shared" si="4"/>
        <v>1.2898341192564776E-3</v>
      </c>
      <c r="O70">
        <f t="shared" si="23"/>
        <v>0.31461928208451811</v>
      </c>
      <c r="P70">
        <f t="shared" si="24"/>
        <v>0.27125790226505853</v>
      </c>
      <c r="R70" s="94">
        <f t="shared" si="5"/>
        <v>367.27249743975835</v>
      </c>
      <c r="S70" s="94"/>
    </row>
    <row r="71" spans="6:19" x14ac:dyDescent="0.25">
      <c r="F71">
        <f t="shared" si="19"/>
        <v>-30</v>
      </c>
      <c r="G71">
        <f t="shared" si="20"/>
        <v>0.31461928208451811</v>
      </c>
      <c r="H71">
        <f t="shared" si="21"/>
        <v>0.27125790226505853</v>
      </c>
      <c r="I71">
        <f t="shared" si="0"/>
        <v>1.0850316090602341</v>
      </c>
      <c r="J71">
        <f t="shared" si="1"/>
        <v>0.25233293233958931</v>
      </c>
      <c r="K71">
        <f t="shared" si="22"/>
        <v>0.92163213647399489</v>
      </c>
      <c r="L71">
        <f t="shared" si="2"/>
        <v>4.3292853974598387E-2</v>
      </c>
      <c r="M71" s="31">
        <f t="shared" si="3"/>
        <v>1E-3</v>
      </c>
      <c r="N71">
        <f t="shared" si="4"/>
        <v>1.2867777574609718E-3</v>
      </c>
      <c r="O71">
        <f t="shared" si="23"/>
        <v>0.31476267096324861</v>
      </c>
      <c r="P71">
        <f t="shared" si="24"/>
        <v>0.27146981698865025</v>
      </c>
      <c r="R71" s="94">
        <f t="shared" si="5"/>
        <v>367.83724902427724</v>
      </c>
      <c r="S71" s="94"/>
    </row>
    <row r="72" spans="6:19" x14ac:dyDescent="0.25">
      <c r="F72">
        <f t="shared" si="19"/>
        <v>-30.5</v>
      </c>
      <c r="G72">
        <f t="shared" si="20"/>
        <v>0.31476267096324861</v>
      </c>
      <c r="H72">
        <f t="shared" si="21"/>
        <v>0.27146981698865025</v>
      </c>
      <c r="I72">
        <f t="shared" si="0"/>
        <v>1.085879267954601</v>
      </c>
      <c r="J72">
        <f t="shared" si="1"/>
        <v>0.25253006231502351</v>
      </c>
      <c r="K72">
        <f t="shared" si="22"/>
        <v>0.92091269214821081</v>
      </c>
      <c r="L72">
        <f t="shared" si="2"/>
        <v>4.3225289834845325E-2</v>
      </c>
      <c r="M72" s="31">
        <f t="shared" si="3"/>
        <v>1E-3</v>
      </c>
      <c r="N72">
        <f t="shared" si="4"/>
        <v>1.2837666564898846E-3</v>
      </c>
      <c r="O72">
        <f t="shared" si="23"/>
        <v>0.31490455429149355</v>
      </c>
      <c r="P72">
        <f t="shared" si="24"/>
        <v>0.27167926445664825</v>
      </c>
      <c r="R72" s="94">
        <f t="shared" si="5"/>
        <v>368.39584190473317</v>
      </c>
      <c r="S72" s="94"/>
    </row>
    <row r="73" spans="6:19" x14ac:dyDescent="0.25">
      <c r="F73">
        <f t="shared" si="19"/>
        <v>-31</v>
      </c>
      <c r="G73">
        <f t="shared" si="20"/>
        <v>0.31490455429149355</v>
      </c>
      <c r="H73">
        <f t="shared" si="21"/>
        <v>0.27167926445664825</v>
      </c>
      <c r="I73">
        <f t="shared" si="0"/>
        <v>1.086717057826593</v>
      </c>
      <c r="J73">
        <f t="shared" si="1"/>
        <v>0.25272489716897512</v>
      </c>
      <c r="K73">
        <f t="shared" si="22"/>
        <v>0.92020272691769012</v>
      </c>
      <c r="L73">
        <f t="shared" si="2"/>
        <v>4.3158667616042458E-2</v>
      </c>
      <c r="M73" s="31">
        <f t="shared" si="3"/>
        <v>1E-3</v>
      </c>
      <c r="N73">
        <f t="shared" si="4"/>
        <v>1.280799837080931E-3</v>
      </c>
      <c r="O73">
        <f t="shared" si="23"/>
        <v>0.31504495421003403</v>
      </c>
      <c r="P73">
        <f t="shared" si="24"/>
        <v>0.27188628659399156</v>
      </c>
      <c r="R73" s="94">
        <f t="shared" si="5"/>
        <v>368.94837355717868</v>
      </c>
      <c r="S73" s="94"/>
    </row>
    <row r="74" spans="6:19" x14ac:dyDescent="0.25">
      <c r="F74">
        <f t="shared" si="19"/>
        <v>-31.5</v>
      </c>
      <c r="G74">
        <f t="shared" si="20"/>
        <v>0.31504495421003403</v>
      </c>
      <c r="H74">
        <f t="shared" si="21"/>
        <v>0.27188628659399156</v>
      </c>
      <c r="I74">
        <f t="shared" si="0"/>
        <v>1.0875451463759662</v>
      </c>
      <c r="J74">
        <f t="shared" si="1"/>
        <v>0.25291747590138752</v>
      </c>
      <c r="K74">
        <f t="shared" si="22"/>
        <v>0.91950205776036653</v>
      </c>
      <c r="L74">
        <f t="shared" si="2"/>
        <v>4.3092968105277692E-2</v>
      </c>
      <c r="M74" s="31">
        <f t="shared" si="3"/>
        <v>1E-3</v>
      </c>
      <c r="N74">
        <f t="shared" si="4"/>
        <v>1.2778763493417008E-3</v>
      </c>
      <c r="O74">
        <f t="shared" si="23"/>
        <v>0.3151838923847049</v>
      </c>
      <c r="P74">
        <f t="shared" si="24"/>
        <v>0.27209092427942722</v>
      </c>
      <c r="R74" s="94">
        <f t="shared" si="5"/>
        <v>369.49493914468889</v>
      </c>
      <c r="S74" s="94"/>
    </row>
    <row r="75" spans="6:19" x14ac:dyDescent="0.25">
      <c r="F75">
        <f t="shared" si="19"/>
        <v>-32</v>
      </c>
      <c r="G75">
        <f t="shared" si="20"/>
        <v>0.3151838923847049</v>
      </c>
      <c r="H75">
        <f t="shared" si="21"/>
        <v>0.27209092427942722</v>
      </c>
      <c r="I75">
        <f t="shared" si="0"/>
        <v>1.0883636971177089</v>
      </c>
      <c r="J75">
        <f t="shared" si="1"/>
        <v>0.2531078365390021</v>
      </c>
      <c r="K75">
        <f t="shared" si="22"/>
        <v>0.91881050667922803</v>
      </c>
      <c r="L75">
        <f t="shared" si="2"/>
        <v>4.3028172639354725E-2</v>
      </c>
      <c r="M75" s="31">
        <f t="shared" si="3"/>
        <v>1E-3</v>
      </c>
      <c r="N75">
        <f t="shared" si="4"/>
        <v>1.2749952716119596E-3</v>
      </c>
      <c r="O75">
        <f t="shared" si="23"/>
        <v>0.31532139002051091</v>
      </c>
      <c r="P75">
        <f t="shared" si="24"/>
        <v>0.27229321738115619</v>
      </c>
      <c r="R75" s="94">
        <f t="shared" si="5"/>
        <v>370.03563159409572</v>
      </c>
      <c r="S75" s="94"/>
    </row>
    <row r="76" spans="6:19" x14ac:dyDescent="0.25">
      <c r="F76">
        <f t="shared" si="19"/>
        <v>-32.5</v>
      </c>
      <c r="G76">
        <f t="shared" si="20"/>
        <v>0.31532139002051091</v>
      </c>
      <c r="H76">
        <f t="shared" si="21"/>
        <v>0.27229321738115619</v>
      </c>
      <c r="I76">
        <f t="shared" si="0"/>
        <v>1.0891728695246248</v>
      </c>
      <c r="J76">
        <f t="shared" ref="J76:J95" si="25">I76/($B$6+2*$B$10)</f>
        <v>0.25329601616851738</v>
      </c>
      <c r="K76">
        <f t="shared" si="22"/>
        <v>0.91812790052001136</v>
      </c>
      <c r="L76">
        <f t="shared" si="2"/>
        <v>4.2964263084265229E-2</v>
      </c>
      <c r="M76" s="31">
        <f t="shared" si="3"/>
        <v>1E-3</v>
      </c>
      <c r="N76">
        <f t="shared" si="4"/>
        <v>1.272155709380004E-3</v>
      </c>
      <c r="O76">
        <f t="shared" si="23"/>
        <v>0.3154574678752009</v>
      </c>
      <c r="P76">
        <f t="shared" si="24"/>
        <v>0.27249320479093569</v>
      </c>
      <c r="R76" s="94">
        <f t="shared" si="5"/>
        <v>370.57054166943732</v>
      </c>
      <c r="S76" s="94"/>
    </row>
    <row r="77" spans="6:19" x14ac:dyDescent="0.25">
      <c r="F77">
        <f t="shared" si="19"/>
        <v>-33</v>
      </c>
      <c r="G77">
        <f t="shared" si="20"/>
        <v>0.3154574678752009</v>
      </c>
      <c r="H77">
        <f t="shared" si="21"/>
        <v>0.27249320479093569</v>
      </c>
      <c r="I77">
        <f t="shared" ref="I77:I95" si="26">$B$6*H77</f>
        <v>1.0899728191637428</v>
      </c>
      <c r="J77">
        <f t="shared" si="25"/>
        <v>0.25348205096831228</v>
      </c>
      <c r="K77">
        <f t="shared" si="22"/>
        <v>0.91745407079713015</v>
      </c>
      <c r="L77">
        <f t="shared" ref="L77:L95" si="27">K77^2/(2*9.81)</f>
        <v>4.2901221815607821E-2</v>
      </c>
      <c r="M77" s="31">
        <f t="shared" ref="M77:M111" si="28">$B$3</f>
        <v>1E-3</v>
      </c>
      <c r="N77">
        <f t="shared" ref="N77:N95" si="29">$B$4*L77/(4*J77)</f>
        <v>1.2693567942500263E-3</v>
      </c>
      <c r="O77">
        <f t="shared" si="23"/>
        <v>0.3155921462723259</v>
      </c>
      <c r="P77">
        <f t="shared" si="24"/>
        <v>0.27269092445671805</v>
      </c>
      <c r="R77" s="94">
        <f t="shared" ref="R77:R111" si="30">$B$4*H77*K76^2*1000+(H77^2*1000*9.81)/2</f>
        <v>371.09975804229612</v>
      </c>
      <c r="S77" s="94"/>
    </row>
    <row r="78" spans="6:19" x14ac:dyDescent="0.25">
      <c r="F78">
        <f t="shared" si="19"/>
        <v>-33.5</v>
      </c>
      <c r="G78">
        <f t="shared" si="20"/>
        <v>0.3155921462723259</v>
      </c>
      <c r="H78">
        <f t="shared" si="21"/>
        <v>0.27269092445671805</v>
      </c>
      <c r="I78">
        <f t="shared" si="26"/>
        <v>1.0907636978268722</v>
      </c>
      <c r="J78">
        <f t="shared" si="25"/>
        <v>0.25366597623880749</v>
      </c>
      <c r="K78">
        <f t="shared" si="22"/>
        <v>0.91678885352739492</v>
      </c>
      <c r="L78">
        <f t="shared" si="27"/>
        <v>4.2839031699901893E-2</v>
      </c>
      <c r="M78" s="31">
        <f t="shared" si="28"/>
        <v>1E-3</v>
      </c>
      <c r="N78">
        <f t="shared" si="29"/>
        <v>1.2665976829576511E-3</v>
      </c>
      <c r="O78">
        <f t="shared" si="23"/>
        <v>0.31572544511380474</v>
      </c>
      <c r="P78">
        <f t="shared" si="24"/>
        <v>0.27288641341390285</v>
      </c>
      <c r="R78" s="94">
        <f t="shared" si="30"/>
        <v>371.62336735918507</v>
      </c>
      <c r="S78" s="94"/>
    </row>
    <row r="79" spans="6:19" x14ac:dyDescent="0.25">
      <c r="F79">
        <f t="shared" si="19"/>
        <v>-34</v>
      </c>
      <c r="G79">
        <f t="shared" si="20"/>
        <v>0.31572544511380474</v>
      </c>
      <c r="H79">
        <f t="shared" si="21"/>
        <v>0.27288641341390285</v>
      </c>
      <c r="I79">
        <f t="shared" si="26"/>
        <v>1.0915456536556114</v>
      </c>
      <c r="J79">
        <f t="shared" si="25"/>
        <v>0.25384782643153753</v>
      </c>
      <c r="K79">
        <f t="shared" si="22"/>
        <v>0.91613208907110488</v>
      </c>
      <c r="L79">
        <f t="shared" si="27"/>
        <v>4.2777676076747546E-2</v>
      </c>
      <c r="M79" s="31">
        <f t="shared" si="28"/>
        <v>1E-3</v>
      </c>
      <c r="N79">
        <f t="shared" si="29"/>
        <v>1.2638775564309775E-3</v>
      </c>
      <c r="O79">
        <f t="shared" si="23"/>
        <v>0.31585738389202023</v>
      </c>
      <c r="P79">
        <f t="shared" si="24"/>
        <v>0.27307970781527269</v>
      </c>
      <c r="R79" s="94">
        <f t="shared" si="30"/>
        <v>372.14145430613547</v>
      </c>
      <c r="S79" s="94"/>
    </row>
    <row r="80" spans="6:19" x14ac:dyDescent="0.25">
      <c r="F80">
        <f t="shared" si="19"/>
        <v>-34.5</v>
      </c>
      <c r="G80">
        <f t="shared" si="20"/>
        <v>0.31585738389202023</v>
      </c>
      <c r="H80">
        <f t="shared" si="21"/>
        <v>0.27307970781527269</v>
      </c>
      <c r="I80">
        <f t="shared" si="26"/>
        <v>1.0923188312610908</v>
      </c>
      <c r="J80">
        <f t="shared" si="25"/>
        <v>0.25402763517699783</v>
      </c>
      <c r="K80">
        <f t="shared" si="22"/>
        <v>0.91548362198012467</v>
      </c>
      <c r="L80">
        <f t="shared" si="27"/>
        <v>4.2717138741786329E-2</v>
      </c>
      <c r="M80" s="31">
        <f t="shared" si="28"/>
        <v>1E-3</v>
      </c>
      <c r="N80">
        <f t="shared" si="29"/>
        <v>1.2611956188946472E-3</v>
      </c>
      <c r="O80">
        <f t="shared" si="23"/>
        <v>0.31598798170146752</v>
      </c>
      <c r="P80">
        <f t="shared" si="24"/>
        <v>0.27327084295968118</v>
      </c>
      <c r="R80" s="94">
        <f t="shared" si="30"/>
        <v>372.65410167062299</v>
      </c>
      <c r="S80" s="94"/>
    </row>
    <row r="81" spans="6:19" x14ac:dyDescent="0.25">
      <c r="F81">
        <f t="shared" si="19"/>
        <v>-35</v>
      </c>
      <c r="G81">
        <f t="shared" si="20"/>
        <v>0.31598798170146752</v>
      </c>
      <c r="H81">
        <f t="shared" si="21"/>
        <v>0.27327084295968118</v>
      </c>
      <c r="I81">
        <f t="shared" si="26"/>
        <v>1.0930833718387247</v>
      </c>
      <c r="J81">
        <f t="shared" si="25"/>
        <v>0.25420543531133133</v>
      </c>
      <c r="K81">
        <f t="shared" si="22"/>
        <v>0.91484330085257359</v>
      </c>
      <c r="L81">
        <f t="shared" si="27"/>
        <v>4.2657403930419592E-2</v>
      </c>
      <c r="M81" s="31">
        <f t="shared" si="28"/>
        <v>1E-3</v>
      </c>
      <c r="N81">
        <f t="shared" si="29"/>
        <v>1.2585510970145881E-3</v>
      </c>
      <c r="O81">
        <f t="shared" si="23"/>
        <v>0.3161172572499748</v>
      </c>
      <c r="P81">
        <f t="shared" si="24"/>
        <v>0.27345985331955519</v>
      </c>
      <c r="R81" s="94">
        <f t="shared" si="30"/>
        <v>373.16139040097403</v>
      </c>
      <c r="S81" s="94"/>
    </row>
    <row r="82" spans="6:19" x14ac:dyDescent="0.25">
      <c r="F82">
        <f t="shared" si="19"/>
        <v>-35.5</v>
      </c>
      <c r="G82">
        <f t="shared" si="20"/>
        <v>0.3161172572499748</v>
      </c>
      <c r="H82">
        <f t="shared" si="21"/>
        <v>0.27345985331955519</v>
      </c>
      <c r="I82">
        <f t="shared" si="26"/>
        <v>1.0938394132782208</v>
      </c>
      <c r="J82">
        <f t="shared" si="25"/>
        <v>0.25438125890191182</v>
      </c>
      <c r="K82">
        <f t="shared" si="22"/>
        <v>0.91421097819378683</v>
      </c>
      <c r="L82">
        <f t="shared" si="27"/>
        <v>4.2598456302244674E-2</v>
      </c>
      <c r="M82" s="31">
        <f t="shared" si="28"/>
        <v>1E-3</v>
      </c>
      <c r="N82">
        <f t="shared" si="29"/>
        <v>1.2559432390812572E-3</v>
      </c>
      <c r="O82">
        <f t="shared" si="23"/>
        <v>0.31624522886951545</v>
      </c>
      <c r="P82">
        <f t="shared" si="24"/>
        <v>0.27364677256727077</v>
      </c>
      <c r="R82" s="94">
        <f t="shared" si="30"/>
        <v>373.66339966337046</v>
      </c>
      <c r="S82" s="94"/>
    </row>
    <row r="83" spans="6:19" x14ac:dyDescent="0.25">
      <c r="F83">
        <f t="shared" si="19"/>
        <v>-36</v>
      </c>
      <c r="G83">
        <f t="shared" si="20"/>
        <v>0.31624522886951545</v>
      </c>
      <c r="H83">
        <f t="shared" si="21"/>
        <v>0.27364677256727077</v>
      </c>
      <c r="I83">
        <f t="shared" si="26"/>
        <v>1.0945870902690831</v>
      </c>
      <c r="J83">
        <f t="shared" si="25"/>
        <v>0.25455513727187978</v>
      </c>
      <c r="K83">
        <f t="shared" si="22"/>
        <v>0.91358651028322413</v>
      </c>
      <c r="L83">
        <f t="shared" si="27"/>
        <v>4.254028092617123E-2</v>
      </c>
      <c r="M83" s="31">
        <f t="shared" si="28"/>
        <v>1E-3</v>
      </c>
      <c r="N83">
        <f t="shared" si="29"/>
        <v>1.2533713142293327E-3</v>
      </c>
      <c r="O83">
        <f t="shared" si="23"/>
        <v>0.3163719145266301</v>
      </c>
      <c r="P83">
        <f t="shared" si="24"/>
        <v>0.27383163360045887</v>
      </c>
      <c r="R83" s="94">
        <f t="shared" si="30"/>
        <v>374.16020689657506</v>
      </c>
      <c r="S83" s="94"/>
    </row>
    <row r="84" spans="6:19" x14ac:dyDescent="0.25">
      <c r="F84">
        <f t="shared" si="19"/>
        <v>-36.5</v>
      </c>
      <c r="G84">
        <f t="shared" si="20"/>
        <v>0.3163719145266301</v>
      </c>
      <c r="H84">
        <f t="shared" si="21"/>
        <v>0.27383163360045887</v>
      </c>
      <c r="I84">
        <f t="shared" si="26"/>
        <v>1.0953265344018355</v>
      </c>
      <c r="J84">
        <f t="shared" si="25"/>
        <v>0.25472710102368268</v>
      </c>
      <c r="K84">
        <f t="shared" si="22"/>
        <v>0.91296975704702166</v>
      </c>
      <c r="L84">
        <f t="shared" si="27"/>
        <v>4.248286326618235E-2</v>
      </c>
      <c r="M84" s="31">
        <f t="shared" si="28"/>
        <v>1E-3</v>
      </c>
      <c r="N84">
        <f t="shared" si="29"/>
        <v>1.2508346116919238E-3</v>
      </c>
      <c r="O84">
        <f t="shared" si="23"/>
        <v>0.31649733183247608</v>
      </c>
      <c r="P84">
        <f t="shared" si="24"/>
        <v>0.27401446856629375</v>
      </c>
      <c r="R84" s="94">
        <f t="shared" si="30"/>
        <v>374.65188786448709</v>
      </c>
      <c r="S84" s="94"/>
    </row>
    <row r="85" spans="6:19" x14ac:dyDescent="0.25">
      <c r="F85">
        <f t="shared" si="19"/>
        <v>-37</v>
      </c>
      <c r="G85">
        <f t="shared" si="20"/>
        <v>0.31649733183247608</v>
      </c>
      <c r="H85">
        <f t="shared" si="21"/>
        <v>0.27401446856629375</v>
      </c>
      <c r="I85">
        <f t="shared" si="26"/>
        <v>1.096057874265175</v>
      </c>
      <c r="J85">
        <f t="shared" si="25"/>
        <v>0.25489718006166862</v>
      </c>
      <c r="K85">
        <f t="shared" si="22"/>
        <v>0.91236058193589953</v>
      </c>
      <c r="L85">
        <f t="shared" si="27"/>
        <v>4.2426189167707094E-2</v>
      </c>
      <c r="M85" s="31">
        <f t="shared" si="28"/>
        <v>1E-3</v>
      </c>
      <c r="N85">
        <f t="shared" si="29"/>
        <v>1.2483324400874905E-3</v>
      </c>
      <c r="O85">
        <f t="shared" si="23"/>
        <v>0.31662149805251982</v>
      </c>
      <c r="P85">
        <f t="shared" si="24"/>
        <v>0.27419530888481275</v>
      </c>
      <c r="R85" s="94">
        <f t="shared" si="30"/>
        <v>375.13851670663581</v>
      </c>
      <c r="S85" s="94"/>
    </row>
    <row r="86" spans="6:19" x14ac:dyDescent="0.25">
      <c r="F86">
        <f t="shared" si="19"/>
        <v>-37.5</v>
      </c>
      <c r="G86">
        <f t="shared" si="20"/>
        <v>0.31662149805251982</v>
      </c>
      <c r="H86">
        <f t="shared" si="21"/>
        <v>0.27419530888481275</v>
      </c>
      <c r="I86">
        <f t="shared" si="26"/>
        <v>1.096781235539251</v>
      </c>
      <c r="J86">
        <f t="shared" si="25"/>
        <v>0.25506540361377933</v>
      </c>
      <c r="K86">
        <f t="shared" si="22"/>
        <v>0.91175885180815763</v>
      </c>
      <c r="L86">
        <f t="shared" si="27"/>
        <v>4.2370244844573392E-2</v>
      </c>
      <c r="M86" s="31">
        <f t="shared" si="28"/>
        <v>1E-3</v>
      </c>
      <c r="N86">
        <f t="shared" si="29"/>
        <v>1.2458641267377795E-3</v>
      </c>
      <c r="O86">
        <f t="shared" si="23"/>
        <v>0.31674443011588871</v>
      </c>
      <c r="P86">
        <f t="shared" si="24"/>
        <v>0.2743741852713153</v>
      </c>
      <c r="R86" s="94">
        <f t="shared" si="30"/>
        <v>375.62016598670726</v>
      </c>
      <c r="S86" s="94"/>
    </row>
    <row r="87" spans="6:19" x14ac:dyDescent="0.25">
      <c r="F87">
        <f t="shared" si="19"/>
        <v>-38</v>
      </c>
      <c r="G87">
        <f t="shared" si="20"/>
        <v>0.31674443011588871</v>
      </c>
      <c r="H87">
        <f t="shared" si="21"/>
        <v>0.2743741852713153</v>
      </c>
      <c r="I87">
        <f t="shared" si="26"/>
        <v>1.0974967410852612</v>
      </c>
      <c r="J87">
        <f t="shared" si="25"/>
        <v>0.25523180025238634</v>
      </c>
      <c r="K87">
        <f t="shared" si="22"/>
        <v>0.91116443681750581</v>
      </c>
      <c r="L87">
        <f t="shared" si="27"/>
        <v>4.2315016866511852E-2</v>
      </c>
      <c r="M87" s="31">
        <f t="shared" si="28"/>
        <v>1E-3</v>
      </c>
      <c r="N87">
        <f t="shared" si="29"/>
        <v>1.2434290170151776E-3</v>
      </c>
      <c r="O87">
        <f t="shared" si="23"/>
        <v>0.31686614462439627</v>
      </c>
      <c r="P87">
        <f t="shared" si="24"/>
        <v>0.27455112775788443</v>
      </c>
      <c r="R87" s="94">
        <f t="shared" si="30"/>
        <v>376.09690673920022</v>
      </c>
      <c r="S87" s="94"/>
    </row>
    <row r="88" spans="6:19" x14ac:dyDescent="0.25">
      <c r="F88">
        <f t="shared" si="19"/>
        <v>-38.5</v>
      </c>
      <c r="G88">
        <f t="shared" si="20"/>
        <v>0.31686614462439627</v>
      </c>
      <c r="H88">
        <f t="shared" si="21"/>
        <v>0.27455112775788443</v>
      </c>
      <c r="I88">
        <f t="shared" si="26"/>
        <v>1.0982045110315377</v>
      </c>
      <c r="J88">
        <f t="shared" si="25"/>
        <v>0.25539639791431112</v>
      </c>
      <c r="K88">
        <f t="shared" si="22"/>
        <v>0.91057721030548788</v>
      </c>
      <c r="L88">
        <f t="shared" si="27"/>
        <v>4.2260492147182707E-2</v>
      </c>
      <c r="M88" s="31">
        <f t="shared" si="28"/>
        <v>1E-3</v>
      </c>
      <c r="N88">
        <f t="shared" si="29"/>
        <v>1.2410264737179749E-3</v>
      </c>
      <c r="O88">
        <f t="shared" si="23"/>
        <v>0.31698665786125524</v>
      </c>
      <c r="P88">
        <f t="shared" si="24"/>
        <v>0.27472616571407255</v>
      </c>
      <c r="R88" s="94">
        <f t="shared" si="30"/>
        <v>376.56880851430026</v>
      </c>
      <c r="S88" s="94"/>
    </row>
    <row r="89" spans="6:19" x14ac:dyDescent="0.25">
      <c r="F89">
        <f t="shared" si="19"/>
        <v>-39</v>
      </c>
      <c r="G89">
        <f t="shared" si="20"/>
        <v>0.31698665786125524</v>
      </c>
      <c r="H89">
        <f t="shared" si="21"/>
        <v>0.27472616571407255</v>
      </c>
      <c r="I89">
        <f t="shared" si="26"/>
        <v>1.0989046628562902</v>
      </c>
      <c r="J89">
        <f t="shared" si="25"/>
        <v>0.25555922392006747</v>
      </c>
      <c r="K89">
        <f t="shared" si="22"/>
        <v>0.9099970486982778</v>
      </c>
      <c r="L89">
        <f t="shared" si="27"/>
        <v>4.2206657932700085E-2</v>
      </c>
      <c r="M89" s="31">
        <f t="shared" si="28"/>
        <v>1E-3</v>
      </c>
      <c r="N89">
        <f t="shared" si="29"/>
        <v>1.2386558764721383E-3</v>
      </c>
      <c r="O89">
        <f t="shared" si="23"/>
        <v>0.31710598579949129</v>
      </c>
      <c r="P89">
        <f t="shared" si="24"/>
        <v>0.27489932786679122</v>
      </c>
      <c r="R89" s="94">
        <f t="shared" si="30"/>
        <v>377.03593942105141</v>
      </c>
      <c r="S89" s="94"/>
    </row>
    <row r="90" spans="6:19" x14ac:dyDescent="0.25">
      <c r="F90">
        <f t="shared" si="19"/>
        <v>-39.5</v>
      </c>
      <c r="G90">
        <f t="shared" si="20"/>
        <v>0.31710598579949129</v>
      </c>
      <c r="H90">
        <f t="shared" si="21"/>
        <v>0.27489932786679122</v>
      </c>
      <c r="I90">
        <f t="shared" si="26"/>
        <v>1.0995973114671649</v>
      </c>
      <c r="J90">
        <f t="shared" si="25"/>
        <v>0.25572030499236392</v>
      </c>
      <c r="K90">
        <f t="shared" si="22"/>
        <v>0.90942383140763161</v>
      </c>
      <c r="L90">
        <f t="shared" si="27"/>
        <v>4.215350179062876E-2</v>
      </c>
      <c r="M90" s="31">
        <f t="shared" si="28"/>
        <v>1E-3</v>
      </c>
      <c r="N90">
        <f t="shared" si="29"/>
        <v>1.2363166211582467E-3</v>
      </c>
      <c r="O90">
        <f t="shared" si="23"/>
        <v>0.31722414411007038</v>
      </c>
      <c r="P90">
        <f t="shared" si="24"/>
        <v>0.27507064231944162</v>
      </c>
      <c r="R90" s="94">
        <f t="shared" si="30"/>
        <v>377.49836616890821</v>
      </c>
      <c r="S90" s="94"/>
    </row>
    <row r="91" spans="6:19" x14ac:dyDescent="0.25">
      <c r="F91">
        <f t="shared" si="19"/>
        <v>-40</v>
      </c>
      <c r="G91">
        <f t="shared" si="20"/>
        <v>0.31722414411007038</v>
      </c>
      <c r="H91">
        <f t="shared" si="21"/>
        <v>0.27507064231944162</v>
      </c>
      <c r="I91">
        <f t="shared" si="26"/>
        <v>1.1002825692777665</v>
      </c>
      <c r="J91">
        <f t="shared" si="25"/>
        <v>0.25587966727389921</v>
      </c>
      <c r="K91">
        <f t="shared" si="22"/>
        <v>0.90885744073579877</v>
      </c>
      <c r="L91">
        <f t="shared" si="27"/>
        <v>4.2101011599430478E-2</v>
      </c>
      <c r="M91" s="31">
        <f t="shared" si="28"/>
        <v>1E-3</v>
      </c>
      <c r="N91">
        <f t="shared" si="29"/>
        <v>1.2340081193623514E-3</v>
      </c>
      <c r="O91">
        <f t="shared" si="23"/>
        <v>0.31734114816975156</v>
      </c>
      <c r="P91">
        <f t="shared" si="24"/>
        <v>0.27524013657032109</v>
      </c>
      <c r="R91" s="94">
        <f t="shared" si="30"/>
        <v>377.9561541077407</v>
      </c>
      <c r="S91" s="94"/>
    </row>
    <row r="92" spans="6:19" x14ac:dyDescent="0.25">
      <c r="F92">
        <f t="shared" si="19"/>
        <v>-40.5</v>
      </c>
      <c r="G92">
        <f t="shared" si="20"/>
        <v>0.31734114816975156</v>
      </c>
      <c r="H92">
        <f t="shared" si="21"/>
        <v>0.27524013657032109</v>
      </c>
      <c r="I92">
        <f t="shared" si="26"/>
        <v>1.1009605462812844</v>
      </c>
      <c r="J92">
        <f t="shared" si="25"/>
        <v>0.25603733634448472</v>
      </c>
      <c r="K92">
        <f t="shared" si="22"/>
        <v>0.9082977617841993</v>
      </c>
      <c r="L92">
        <f t="shared" si="27"/>
        <v>4.2049175538337716E-2</v>
      </c>
      <c r="M92" s="31">
        <f t="shared" si="28"/>
        <v>1E-3</v>
      </c>
      <c r="N92">
        <f t="shared" si="29"/>
        <v>1.2317297978495635E-3</v>
      </c>
      <c r="O92">
        <f t="shared" si="23"/>
        <v>0.31745701306867635</v>
      </c>
      <c r="P92">
        <f t="shared" si="24"/>
        <v>0.27540783753033865</v>
      </c>
      <c r="R92" s="94">
        <f t="shared" si="30"/>
        <v>378.40936726636289</v>
      </c>
      <c r="S92" s="94"/>
    </row>
    <row r="93" spans="6:19" x14ac:dyDescent="0.25">
      <c r="F93">
        <f t="shared" si="19"/>
        <v>-41</v>
      </c>
      <c r="G93">
        <f t="shared" si="20"/>
        <v>0.31745701306867635</v>
      </c>
      <c r="H93">
        <f t="shared" si="21"/>
        <v>0.27540783753033865</v>
      </c>
      <c r="I93">
        <f t="shared" si="26"/>
        <v>1.1016313501213546</v>
      </c>
      <c r="J93">
        <f t="shared" si="25"/>
        <v>0.25619333723752435</v>
      </c>
      <c r="K93">
        <f t="shared" si="22"/>
        <v>0.90774468236569428</v>
      </c>
      <c r="L93">
        <f t="shared" si="27"/>
        <v>4.1997982077634818E-2</v>
      </c>
      <c r="M93" s="31">
        <f t="shared" si="28"/>
        <v>1E-3</v>
      </c>
      <c r="N93">
        <f t="shared" si="29"/>
        <v>1.2294810980592731E-3</v>
      </c>
      <c r="O93">
        <f t="shared" si="23"/>
        <v>0.31757175361770601</v>
      </c>
      <c r="P93">
        <f t="shared" si="24"/>
        <v>0.27557377154007118</v>
      </c>
      <c r="R93" s="94">
        <f t="shared" si="30"/>
        <v>378.85806838965095</v>
      </c>
      <c r="S93" s="94"/>
    </row>
    <row r="94" spans="6:19" x14ac:dyDescent="0.25">
      <c r="F94">
        <f t="shared" si="19"/>
        <v>-41.5</v>
      </c>
      <c r="G94">
        <f t="shared" si="20"/>
        <v>0.31757175361770601</v>
      </c>
      <c r="H94">
        <f t="shared" si="21"/>
        <v>0.27557377154007118</v>
      </c>
      <c r="I94">
        <f t="shared" si="26"/>
        <v>1.1022950861602847</v>
      </c>
      <c r="J94">
        <f t="shared" si="25"/>
        <v>0.25634769445588018</v>
      </c>
      <c r="K94">
        <f t="shared" si="22"/>
        <v>0.90719809292027453</v>
      </c>
      <c r="L94">
        <f t="shared" si="27"/>
        <v>4.1947419969326355E-2</v>
      </c>
      <c r="M94" s="31">
        <f t="shared" si="28"/>
        <v>1E-3</v>
      </c>
      <c r="N94">
        <f t="shared" si="29"/>
        <v>1.2272614756209334E-3</v>
      </c>
      <c r="O94">
        <f t="shared" si="23"/>
        <v>0.31768538435551646</v>
      </c>
      <c r="P94">
        <f t="shared" si="24"/>
        <v>0.27573796438619014</v>
      </c>
      <c r="R94" s="94">
        <f t="shared" si="30"/>
        <v>379.30231897431503</v>
      </c>
      <c r="S94" s="94"/>
    </row>
    <row r="95" spans="6:19" x14ac:dyDescent="0.25">
      <c r="F95">
        <f t="shared" si="19"/>
        <v>-42</v>
      </c>
      <c r="G95">
        <f t="shared" si="20"/>
        <v>0.31768538435551646</v>
      </c>
      <c r="H95">
        <f t="shared" si="21"/>
        <v>0.27573796438619014</v>
      </c>
      <c r="I95">
        <f t="shared" si="26"/>
        <v>1.1029518575447605</v>
      </c>
      <c r="J95">
        <f t="shared" si="25"/>
        <v>0.25650043198715361</v>
      </c>
      <c r="K95">
        <f t="shared" si="22"/>
        <v>0.90665788643401191</v>
      </c>
      <c r="L95">
        <f t="shared" si="27"/>
        <v>4.1897478238174801E-2</v>
      </c>
      <c r="M95" s="31">
        <f t="shared" si="28"/>
        <v>1E-3</v>
      </c>
      <c r="N95">
        <f t="shared" si="29"/>
        <v>1.2250703998894191E-3</v>
      </c>
      <c r="O95">
        <f t="shared" si="23"/>
        <v>0.31779791955546116</v>
      </c>
      <c r="P95">
        <f t="shared" si="24"/>
        <v>0.27590044131728636</v>
      </c>
      <c r="R95" s="94">
        <f t="shared" si="30"/>
        <v>379.74217930338432</v>
      </c>
      <c r="S95" s="94"/>
    </row>
    <row r="96" spans="6:19" x14ac:dyDescent="0.25">
      <c r="F96">
        <f t="shared" si="19"/>
        <v>-42.5</v>
      </c>
      <c r="G96">
        <f t="shared" ref="G96:G111" si="31">O95</f>
        <v>0.31779791955546116</v>
      </c>
      <c r="H96">
        <f t="shared" ref="H96:H111" si="32">P95</f>
        <v>0.27590044131728636</v>
      </c>
      <c r="I96">
        <f t="shared" ref="I96:I111" si="33">$B$6*H96</f>
        <v>1.1036017652691454</v>
      </c>
      <c r="J96">
        <f t="shared" ref="J96:J111" si="34">I96/($B$6+2*$B$10)</f>
        <v>0.25665157331840593</v>
      </c>
      <c r="K96">
        <f t="shared" ref="K96:K111" si="35">$B$5/I96</f>
        <v>0.90612395836112214</v>
      </c>
      <c r="L96">
        <f t="shared" ref="L96:L111" si="36">K96^2/(2*9.81)</f>
        <v>4.1848146173090142E-2</v>
      </c>
      <c r="M96" s="31">
        <f t="shared" si="28"/>
        <v>1E-3</v>
      </c>
      <c r="N96">
        <f t="shared" ref="N96:N111" si="37">$B$4*L96/(4*J96)</f>
        <v>1.2229073534990378E-3</v>
      </c>
      <c r="O96">
        <f t="shared" ref="O96:O111" si="38">G96+$B$9*(M96-N96)</f>
        <v>0.31790937323221069</v>
      </c>
      <c r="P96">
        <f t="shared" ref="P96:P111" si="39">O96-L96</f>
        <v>0.27606122705912056</v>
      </c>
      <c r="R96" s="94">
        <f t="shared" si="30"/>
        <v>380.17770847946088</v>
      </c>
      <c r="S96" s="94"/>
    </row>
    <row r="97" spans="6:19" x14ac:dyDescent="0.25">
      <c r="F97">
        <f t="shared" si="19"/>
        <v>-43</v>
      </c>
      <c r="G97">
        <f t="shared" si="31"/>
        <v>0.31790937323221069</v>
      </c>
      <c r="H97">
        <f t="shared" si="32"/>
        <v>0.27606122705912056</v>
      </c>
      <c r="I97">
        <f t="shared" si="33"/>
        <v>1.1042449082364822</v>
      </c>
      <c r="J97">
        <f t="shared" si="34"/>
        <v>0.25680114145034472</v>
      </c>
      <c r="K97">
        <f t="shared" si="35"/>
        <v>0.90559620654899375</v>
      </c>
      <c r="L97">
        <f t="shared" si="36"/>
        <v>4.1799413318854624E-2</v>
      </c>
      <c r="M97" s="31">
        <f t="shared" si="28"/>
        <v>1E-3</v>
      </c>
      <c r="N97">
        <f t="shared" si="37"/>
        <v>1.2207718319352855E-3</v>
      </c>
      <c r="O97">
        <f t="shared" si="38"/>
        <v>0.31801975914817832</v>
      </c>
      <c r="P97">
        <f t="shared" si="39"/>
        <v>0.2762203458293237</v>
      </c>
      <c r="R97" s="94">
        <f t="shared" si="30"/>
        <v>380.60896445679771</v>
      </c>
      <c r="S97" s="94"/>
    </row>
    <row r="98" spans="6:19" x14ac:dyDescent="0.25">
      <c r="F98">
        <f t="shared" si="19"/>
        <v>-43.5</v>
      </c>
      <c r="G98">
        <f t="shared" si="31"/>
        <v>0.31801975914817832</v>
      </c>
      <c r="H98">
        <f t="shared" si="32"/>
        <v>0.2762203458293237</v>
      </c>
      <c r="I98">
        <f t="shared" si="33"/>
        <v>1.1048813833172948</v>
      </c>
      <c r="J98">
        <f t="shared" si="34"/>
        <v>0.25694915891099879</v>
      </c>
      <c r="K98">
        <f t="shared" si="35"/>
        <v>0.90507453116605241</v>
      </c>
      <c r="L98">
        <f t="shared" si="36"/>
        <v>4.1751269468167665E-2</v>
      </c>
      <c r="M98" s="31">
        <f t="shared" si="28"/>
        <v>1E-3</v>
      </c>
      <c r="N98">
        <f t="shared" si="37"/>
        <v>1.218663343123532E-3</v>
      </c>
      <c r="O98">
        <f t="shared" si="38"/>
        <v>0.31812909081974006</v>
      </c>
      <c r="P98">
        <f t="shared" si="39"/>
        <v>0.27637782135157241</v>
      </c>
      <c r="R98" s="94">
        <f t="shared" si="30"/>
        <v>381.03600407225002</v>
      </c>
      <c r="S98" s="94"/>
    </row>
    <row r="99" spans="6:19" x14ac:dyDescent="0.25">
      <c r="F99">
        <f t="shared" si="19"/>
        <v>-44</v>
      </c>
      <c r="G99">
        <f t="shared" si="31"/>
        <v>0.31812909081974006</v>
      </c>
      <c r="H99">
        <f t="shared" si="32"/>
        <v>0.27637782135157241</v>
      </c>
      <c r="I99">
        <f t="shared" si="33"/>
        <v>1.1055112854062896</v>
      </c>
      <c r="J99">
        <f t="shared" si="34"/>
        <v>0.25709564776890459</v>
      </c>
      <c r="K99">
        <f t="shared" si="35"/>
        <v>0.90455883463232778</v>
      </c>
      <c r="L99">
        <f t="shared" si="36"/>
        <v>4.1703704653995657E-2</v>
      </c>
      <c r="M99" s="31">
        <f t="shared" si="28"/>
        <v>1E-3</v>
      </c>
      <c r="N99">
        <f t="shared" si="37"/>
        <v>1.2165814070338283E-3</v>
      </c>
      <c r="O99">
        <f t="shared" si="38"/>
        <v>0.31823738152325698</v>
      </c>
      <c r="P99">
        <f t="shared" si="39"/>
        <v>0.27653367686926134</v>
      </c>
      <c r="R99" s="94">
        <f t="shared" si="30"/>
        <v>381.4588830751494</v>
      </c>
      <c r="S99" s="94"/>
    </row>
    <row r="100" spans="6:19" x14ac:dyDescent="0.25">
      <c r="F100">
        <f t="shared" si="19"/>
        <v>-44.5</v>
      </c>
      <c r="G100">
        <f t="shared" si="31"/>
        <v>0.31823738152325698</v>
      </c>
      <c r="H100">
        <f t="shared" si="32"/>
        <v>0.27653367686926134</v>
      </c>
      <c r="I100">
        <f t="shared" si="33"/>
        <v>1.1061347074770453</v>
      </c>
      <c r="J100">
        <f t="shared" si="34"/>
        <v>0.2572406296458245</v>
      </c>
      <c r="K100">
        <f t="shared" si="35"/>
        <v>0.90404902155260514</v>
      </c>
      <c r="L100">
        <f t="shared" si="36"/>
        <v>4.1656709142213186E-2</v>
      </c>
      <c r="M100" s="31">
        <f t="shared" si="28"/>
        <v>1E-3</v>
      </c>
      <c r="N100">
        <f t="shared" si="37"/>
        <v>1.2145255553010971E-3</v>
      </c>
      <c r="O100">
        <f t="shared" si="38"/>
        <v>0.31834464430090753</v>
      </c>
      <c r="P100">
        <f t="shared" si="39"/>
        <v>0.27668793515869433</v>
      </c>
      <c r="R100" s="94">
        <f t="shared" si="30"/>
        <v>381.87765615614734</v>
      </c>
      <c r="S100" s="94"/>
    </row>
    <row r="101" spans="6:19" x14ac:dyDescent="0.25">
      <c r="F101">
        <f t="shared" si="19"/>
        <v>-45</v>
      </c>
      <c r="G101">
        <f t="shared" si="31"/>
        <v>0.31834464430090753</v>
      </c>
      <c r="H101">
        <f t="shared" si="32"/>
        <v>0.27668793515869433</v>
      </c>
      <c r="I101">
        <f t="shared" si="33"/>
        <v>1.1067517406347773</v>
      </c>
      <c r="J101">
        <f t="shared" si="34"/>
        <v>0.25738412572901798</v>
      </c>
      <c r="K101">
        <f t="shared" si="35"/>
        <v>0.90354499865204652</v>
      </c>
      <c r="L101">
        <f t="shared" si="36"/>
        <v>4.1610273424522254E-2</v>
      </c>
      <c r="M101" s="31">
        <f t="shared" si="28"/>
        <v>1E-3</v>
      </c>
      <c r="N101">
        <f t="shared" si="37"/>
        <v>1.2124953308599977E-3</v>
      </c>
      <c r="O101">
        <f t="shared" si="38"/>
        <v>0.31845089196633752</v>
      </c>
      <c r="P101">
        <f t="shared" si="39"/>
        <v>0.2768406185418153</v>
      </c>
      <c r="R101" s="94">
        <f t="shared" si="30"/>
        <v>382.29237697506812</v>
      </c>
      <c r="S101" s="94"/>
    </row>
    <row r="102" spans="6:19" x14ac:dyDescent="0.25">
      <c r="F102">
        <f t="shared" si="19"/>
        <v>-45.5</v>
      </c>
      <c r="G102">
        <f t="shared" si="31"/>
        <v>0.31845089196633752</v>
      </c>
      <c r="H102">
        <f t="shared" si="32"/>
        <v>0.2768406185418153</v>
      </c>
      <c r="I102">
        <f t="shared" si="33"/>
        <v>1.1073624741672612</v>
      </c>
      <c r="J102">
        <f t="shared" si="34"/>
        <v>0.25752615678308399</v>
      </c>
      <c r="K102">
        <f t="shared" si="35"/>
        <v>0.90304667471416888</v>
      </c>
      <c r="L102">
        <f t="shared" si="36"/>
        <v>4.1564388211637E-2</v>
      </c>
      <c r="M102" s="31">
        <f t="shared" si="28"/>
        <v>1E-3</v>
      </c>
      <c r="N102">
        <f t="shared" si="37"/>
        <v>1.210490287593785E-3</v>
      </c>
      <c r="O102">
        <f t="shared" si="38"/>
        <v>0.31855613711013442</v>
      </c>
      <c r="P102">
        <f t="shared" si="39"/>
        <v>0.27699174889849743</v>
      </c>
      <c r="R102" s="94">
        <f t="shared" si="30"/>
        <v>382.70309818781834</v>
      </c>
      <c r="S102" s="94"/>
    </row>
    <row r="103" spans="6:19" x14ac:dyDescent="0.25">
      <c r="F103">
        <f t="shared" si="19"/>
        <v>-46</v>
      </c>
      <c r="G103">
        <f t="shared" si="31"/>
        <v>0.31855613711013442</v>
      </c>
      <c r="H103">
        <f t="shared" si="32"/>
        <v>0.27699174889849743</v>
      </c>
      <c r="I103">
        <f t="shared" si="33"/>
        <v>1.1079669955939897</v>
      </c>
      <c r="J103">
        <f t="shared" si="34"/>
        <v>0.25766674316139299</v>
      </c>
      <c r="K103">
        <f t="shared" si="35"/>
        <v>0.90255396052108239</v>
      </c>
      <c r="L103">
        <f t="shared" si="36"/>
        <v>4.1519044426722301E-2</v>
      </c>
      <c r="M103" s="31">
        <f t="shared" si="28"/>
        <v>1E-3</v>
      </c>
      <c r="N103">
        <f t="shared" si="37"/>
        <v>1.2085099899965446E-3</v>
      </c>
      <c r="O103">
        <f t="shared" si="38"/>
        <v>0.31866039210513269</v>
      </c>
      <c r="P103">
        <f t="shared" si="39"/>
        <v>0.27714134767841037</v>
      </c>
      <c r="R103" s="94">
        <f t="shared" si="30"/>
        <v>383.10987147238615</v>
      </c>
      <c r="S103" s="94"/>
    </row>
    <row r="104" spans="6:19" x14ac:dyDescent="0.25">
      <c r="F104">
        <f t="shared" si="19"/>
        <v>-46.5</v>
      </c>
      <c r="G104">
        <f t="shared" si="31"/>
        <v>0.31866039210513269</v>
      </c>
      <c r="H104">
        <f t="shared" si="32"/>
        <v>0.27714134767841037</v>
      </c>
      <c r="I104">
        <f t="shared" si="33"/>
        <v>1.1085653907136415</v>
      </c>
      <c r="J104">
        <f t="shared" si="34"/>
        <v>0.25780590481712595</v>
      </c>
      <c r="K104">
        <f t="shared" si="35"/>
        <v>0.90206676879588288</v>
      </c>
      <c r="L104">
        <f t="shared" si="36"/>
        <v>4.1474233199074659E-2</v>
      </c>
      <c r="M104" s="31">
        <f t="shared" si="28"/>
        <v>1E-3</v>
      </c>
      <c r="N104">
        <f t="shared" si="37"/>
        <v>1.2065540128481827E-3</v>
      </c>
      <c r="O104">
        <f t="shared" si="38"/>
        <v>0.31876366911155679</v>
      </c>
      <c r="P104">
        <f t="shared" si="39"/>
        <v>0.27728943591248212</v>
      </c>
      <c r="R104" s="94">
        <f t="shared" si="30"/>
        <v>383.51274755397225</v>
      </c>
      <c r="S104" s="94"/>
    </row>
    <row r="105" spans="6:19" x14ac:dyDescent="0.25">
      <c r="F105">
        <f t="shared" si="19"/>
        <v>-47</v>
      </c>
      <c r="G105">
        <f t="shared" si="31"/>
        <v>0.31876366911155679</v>
      </c>
      <c r="H105">
        <f t="shared" si="32"/>
        <v>0.27728943591248212</v>
      </c>
      <c r="I105">
        <f t="shared" si="33"/>
        <v>1.1091577436499285</v>
      </c>
      <c r="J105">
        <f t="shared" si="34"/>
        <v>0.25794366131393687</v>
      </c>
      <c r="K105">
        <f t="shared" si="35"/>
        <v>0.90158501414711234</v>
      </c>
      <c r="L105">
        <f t="shared" si="36"/>
        <v>4.1429945858035104E-2</v>
      </c>
      <c r="M105" s="31">
        <f t="shared" si="28"/>
        <v>1E-3</v>
      </c>
      <c r="N105">
        <f t="shared" si="37"/>
        <v>1.2046219409016143E-3</v>
      </c>
      <c r="O105">
        <f t="shared" si="38"/>
        <v>0.31886598008200762</v>
      </c>
      <c r="P105">
        <f t="shared" si="39"/>
        <v>0.27743603422397251</v>
      </c>
      <c r="R105" s="94">
        <f t="shared" si="30"/>
        <v>383.91177622928734</v>
      </c>
      <c r="S105" s="94"/>
    </row>
    <row r="106" spans="6:19" x14ac:dyDescent="0.25">
      <c r="F106">
        <f t="shared" si="19"/>
        <v>-47.5</v>
      </c>
      <c r="G106">
        <f t="shared" si="31"/>
        <v>0.31886598008200762</v>
      </c>
      <c r="H106">
        <f t="shared" si="32"/>
        <v>0.27743603422397251</v>
      </c>
      <c r="I106">
        <f t="shared" si="33"/>
        <v>1.10974413689589</v>
      </c>
      <c r="J106">
        <f t="shared" si="34"/>
        <v>0.2580800318362535</v>
      </c>
      <c r="K106">
        <f t="shared" si="35"/>
        <v>0.90110861301519485</v>
      </c>
      <c r="L106">
        <f t="shared" si="36"/>
        <v>4.1386173927123758E-2</v>
      </c>
      <c r="M106" s="31">
        <f t="shared" si="28"/>
        <v>1E-3</v>
      </c>
      <c r="N106">
        <f t="shared" si="37"/>
        <v>1.2027133685816045E-3</v>
      </c>
      <c r="O106">
        <f t="shared" si="38"/>
        <v>0.3189673367662984</v>
      </c>
      <c r="P106">
        <f t="shared" si="39"/>
        <v>0.27758116283917467</v>
      </c>
      <c r="R106" s="94">
        <f t="shared" si="30"/>
        <v>384.30700639004618</v>
      </c>
      <c r="S106" s="94"/>
    </row>
    <row r="107" spans="6:19" x14ac:dyDescent="0.25">
      <c r="F107">
        <f t="shared" si="19"/>
        <v>-48</v>
      </c>
      <c r="G107">
        <f t="shared" si="31"/>
        <v>0.3189673367662984</v>
      </c>
      <c r="H107">
        <f t="shared" si="32"/>
        <v>0.27758116283917467</v>
      </c>
      <c r="I107">
        <f t="shared" si="33"/>
        <v>1.1103246513566987</v>
      </c>
      <c r="J107">
        <f t="shared" si="34"/>
        <v>0.25821503519923228</v>
      </c>
      <c r="K107">
        <f t="shared" si="35"/>
        <v>0.90063748362076468</v>
      </c>
      <c r="L107">
        <f t="shared" si="36"/>
        <v>4.1342909118386499E-2</v>
      </c>
      <c r="M107" s="31">
        <f t="shared" si="28"/>
        <v>1E-3</v>
      </c>
      <c r="N107">
        <f t="shared" si="37"/>
        <v>1.2008278996947449E-3</v>
      </c>
      <c r="O107">
        <f t="shared" si="38"/>
        <v>0.31906775071614579</v>
      </c>
      <c r="P107">
        <f t="shared" si="39"/>
        <v>0.27772484159775929</v>
      </c>
      <c r="R107" s="94">
        <f t="shared" si="30"/>
        <v>384.69848604569671</v>
      </c>
      <c r="S107" s="94"/>
    </row>
    <row r="108" spans="6:19" x14ac:dyDescent="0.25">
      <c r="F108">
        <f t="shared" si="19"/>
        <v>-48.5</v>
      </c>
      <c r="G108">
        <f t="shared" si="31"/>
        <v>0.31906775071614579</v>
      </c>
      <c r="H108">
        <f t="shared" si="32"/>
        <v>0.27772484159775929</v>
      </c>
      <c r="I108">
        <f t="shared" si="33"/>
        <v>1.1108993663910371</v>
      </c>
      <c r="J108">
        <f t="shared" si="34"/>
        <v>0.25834868985838072</v>
      </c>
      <c r="K108">
        <f t="shared" si="35"/>
        <v>0.90017154591480741</v>
      </c>
      <c r="L108">
        <f t="shared" si="36"/>
        <v>4.1300143326944656E-2</v>
      </c>
      <c r="M108" s="31">
        <f t="shared" si="28"/>
        <v>1E-3</v>
      </c>
      <c r="N108">
        <f t="shared" si="37"/>
        <v>1.1989651471500842E-3</v>
      </c>
      <c r="O108">
        <f t="shared" si="38"/>
        <v>0.31916723328972085</v>
      </c>
      <c r="P108">
        <f t="shared" si="39"/>
        <v>0.2778670899627762</v>
      </c>
      <c r="R108" s="94">
        <f t="shared" si="30"/>
        <v>385.08626234541009</v>
      </c>
      <c r="S108" s="94"/>
    </row>
    <row r="109" spans="6:19" x14ac:dyDescent="0.25">
      <c r="F109">
        <f t="shared" si="19"/>
        <v>-49</v>
      </c>
      <c r="G109">
        <f t="shared" si="31"/>
        <v>0.31916723328972085</v>
      </c>
      <c r="H109">
        <f t="shared" si="32"/>
        <v>0.2778670899627762</v>
      </c>
      <c r="I109">
        <f t="shared" si="33"/>
        <v>1.1114683598511048</v>
      </c>
      <c r="J109">
        <f t="shared" si="34"/>
        <v>0.25848101391886158</v>
      </c>
      <c r="K109">
        <f t="shared" si="35"/>
        <v>0.89971072153053699</v>
      </c>
      <c r="L109">
        <f t="shared" si="36"/>
        <v>4.1257868625739012E-2</v>
      </c>
      <c r="M109" s="31">
        <f t="shared" si="28"/>
        <v>1E-3</v>
      </c>
      <c r="N109">
        <f t="shared" si="37"/>
        <v>1.1971247326899429E-3</v>
      </c>
      <c r="O109">
        <f t="shared" si="38"/>
        <v>0.31926579565606583</v>
      </c>
      <c r="P109">
        <f t="shared" si="39"/>
        <v>0.27800792703032684</v>
      </c>
      <c r="R109" s="94">
        <f t="shared" si="30"/>
        <v>385.4703815993629</v>
      </c>
      <c r="S109" s="94"/>
    </row>
    <row r="110" spans="6:19" x14ac:dyDescent="0.25">
      <c r="F110">
        <f t="shared" si="19"/>
        <v>-49.5</v>
      </c>
      <c r="G110">
        <f t="shared" si="31"/>
        <v>0.31926579565606583</v>
      </c>
      <c r="H110">
        <f t="shared" si="32"/>
        <v>0.27800792703032684</v>
      </c>
      <c r="I110">
        <f t="shared" si="33"/>
        <v>1.1120317081213074</v>
      </c>
      <c r="J110">
        <f t="shared" si="34"/>
        <v>0.25861202514449011</v>
      </c>
      <c r="K110">
        <f t="shared" si="35"/>
        <v>0.89925493373693777</v>
      </c>
      <c r="L110">
        <f t="shared" si="36"/>
        <v>4.1216077260459956E-2</v>
      </c>
      <c r="M110" s="31">
        <f t="shared" si="28"/>
        <v>1E-3</v>
      </c>
      <c r="N110">
        <f t="shared" si="37"/>
        <v>1.1953062866304834E-3</v>
      </c>
      <c r="O110">
        <f t="shared" si="38"/>
        <v>0.31936344879938106</v>
      </c>
      <c r="P110">
        <f t="shared" si="39"/>
        <v>0.27814737153892111</v>
      </c>
      <c r="R110" s="94">
        <f t="shared" si="30"/>
        <v>385.8508892993392</v>
      </c>
      <c r="S110" s="94"/>
    </row>
    <row r="111" spans="6:19" x14ac:dyDescent="0.25">
      <c r="F111">
        <f t="shared" si="19"/>
        <v>-50</v>
      </c>
      <c r="G111">
        <f t="shared" si="31"/>
        <v>0.31936344879938106</v>
      </c>
      <c r="H111">
        <f t="shared" si="32"/>
        <v>0.27814737153892111</v>
      </c>
      <c r="I111">
        <f t="shared" si="33"/>
        <v>1.1125894861556844</v>
      </c>
      <c r="J111">
        <f t="shared" si="34"/>
        <v>0.25874174096643826</v>
      </c>
      <c r="K111">
        <f t="shared" si="35"/>
        <v>0.89880410739390193</v>
      </c>
      <c r="L111">
        <f t="shared" si="36"/>
        <v>4.1174761644655902E-2</v>
      </c>
      <c r="M111" s="31">
        <f t="shared" si="28"/>
        <v>1E-3</v>
      </c>
      <c r="N111">
        <f t="shared" si="37"/>
        <v>1.193509447611607E-3</v>
      </c>
      <c r="O111">
        <f t="shared" si="38"/>
        <v>0.31946020352318688</v>
      </c>
      <c r="P111">
        <f t="shared" si="39"/>
        <v>0.27828544187853099</v>
      </c>
      <c r="R111" s="94">
        <f t="shared" si="30"/>
        <v>386.22783013867871</v>
      </c>
      <c r="S111" s="94"/>
    </row>
    <row r="140" spans="1:7" x14ac:dyDescent="0.25">
      <c r="A140" t="s">
        <v>46</v>
      </c>
      <c r="G140" t="s">
        <v>47</v>
      </c>
    </row>
    <row r="143" spans="1:7" x14ac:dyDescent="0.25">
      <c r="A143" t="s">
        <v>45</v>
      </c>
      <c r="B143">
        <v>0.03</v>
      </c>
      <c r="D143" t="s">
        <v>49</v>
      </c>
      <c r="F143">
        <f>$B$4/8</f>
        <v>3.7499999999999999E-3</v>
      </c>
    </row>
    <row r="144" spans="1:7" x14ac:dyDescent="0.25">
      <c r="A144" t="s">
        <v>48</v>
      </c>
      <c r="B144">
        <v>1</v>
      </c>
    </row>
    <row r="145" spans="1:6" x14ac:dyDescent="0.25">
      <c r="A145" t="s">
        <v>50</v>
      </c>
      <c r="B145">
        <v>4</v>
      </c>
    </row>
    <row r="146" spans="1:6" x14ac:dyDescent="0.25">
      <c r="A146" t="s">
        <v>52</v>
      </c>
      <c r="B146">
        <f>((($B$5/$B$6)^2)/9.81)^(1/3)</f>
        <v>0.18538318385384195</v>
      </c>
      <c r="D146" t="s">
        <v>53</v>
      </c>
      <c r="F146">
        <f>(3/2)*$B$7</f>
        <v>0.2780747757807629</v>
      </c>
    </row>
    <row r="149" spans="1:6" x14ac:dyDescent="0.25">
      <c r="B149" t="s">
        <v>54</v>
      </c>
    </row>
    <row r="151" spans="1:6" x14ac:dyDescent="0.25">
      <c r="A151" t="s">
        <v>51</v>
      </c>
      <c r="B151">
        <f>1/1000</f>
        <v>1E-3</v>
      </c>
      <c r="E151" t="s">
        <v>55</v>
      </c>
      <c r="F151">
        <f>($B$4*($B$5^2)/(8*9.81*$B$6^2*$B$12))^(1/3)</f>
        <v>2.42920691858001E-2</v>
      </c>
    </row>
    <row r="152" spans="1:6" x14ac:dyDescent="0.25">
      <c r="A152" t="s">
        <v>57</v>
      </c>
      <c r="B152">
        <f>5/10000</f>
        <v>5.0000000000000001E-4</v>
      </c>
      <c r="E152" t="s">
        <v>56</v>
      </c>
      <c r="F152">
        <f>($B$4*($B$5^2)/(8*9.81*$B$6^2*$B$13))^(1/3)</f>
        <v>5.5260472479605811E-2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65537" r:id="rId4">
          <objectPr defaultSize="0" r:id="rId5">
            <anchor moveWithCells="1">
              <from>
                <xdr:col>10</xdr:col>
                <xdr:colOff>373380</xdr:colOff>
                <xdr:row>1</xdr:row>
                <xdr:rowOff>0</xdr:rowOff>
              </from>
              <to>
                <xdr:col>13</xdr:col>
                <xdr:colOff>0</xdr:colOff>
                <xdr:row>5</xdr:row>
                <xdr:rowOff>22860</xdr:rowOff>
              </to>
            </anchor>
          </objectPr>
        </oleObject>
      </mc:Choice>
      <mc:Fallback>
        <oleObject progId="Equation.3" shapeId="6553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H(h)</vt:lpstr>
      <vt:lpstr>Q(h) </vt:lpstr>
      <vt:lpstr>MotoUniforme</vt:lpstr>
      <vt:lpstr>CorrLenta</vt:lpstr>
      <vt:lpstr>CorrVeloce</vt:lpstr>
      <vt:lpstr>Profili2</vt:lpstr>
      <vt:lpstr> H(h) N(h)</vt:lpstr>
      <vt:lpstr> DeflussoECritica</vt:lpstr>
      <vt:lpstr>eserciziMNU</vt:lpstr>
      <vt:lpstr>sogliaesfiorat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eugen</cp:lastModifiedBy>
  <cp:lastPrinted>2017-05-15T21:40:17Z</cp:lastPrinted>
  <dcterms:created xsi:type="dcterms:W3CDTF">2002-07-08T09:04:58Z</dcterms:created>
  <dcterms:modified xsi:type="dcterms:W3CDTF">2023-05-01T15:36:32Z</dcterms:modified>
</cp:coreProperties>
</file>