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4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EPCINUSOTUTTO\www.eugeniopc.it\RiverCoastalManagementMATERIALE\ESERC\Esercitazione1Waves\"/>
    </mc:Choice>
  </mc:AlternateContent>
  <bookViews>
    <workbookView xWindow="0" yWindow="120" windowWidth="15600" windowHeight="8470" activeTab="1"/>
  </bookViews>
  <sheets>
    <sheet name="ShoalShallow" sheetId="4" r:id="rId1"/>
    <sheet name="shoaling" sheetId="1" r:id="rId2"/>
    <sheet name="diagrammiprofondita" sheetId="2" r:id="rId3"/>
    <sheet name="Foglio3" sheetId="3" r:id="rId4"/>
  </sheets>
  <calcPr calcId="152511"/>
</workbook>
</file>

<file path=xl/calcChain.xml><?xml version="1.0" encoding="utf-8"?>
<calcChain xmlns="http://schemas.openxmlformats.org/spreadsheetml/2006/main">
  <c r="S39" i="1" l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K39" i="1" l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E2" i="1" l="1"/>
  <c r="B13" i="1"/>
  <c r="C13" i="1" l="1"/>
  <c r="D13" i="1" s="1"/>
  <c r="E13" i="1" s="1"/>
  <c r="F13" i="1" s="1"/>
  <c r="D136" i="2"/>
  <c r="D137" i="2" s="1"/>
  <c r="D138" i="2" s="1"/>
  <c r="D112" i="2"/>
  <c r="D113" i="2" s="1"/>
  <c r="J111" i="2"/>
  <c r="I111" i="2"/>
  <c r="H111" i="2"/>
  <c r="C111" i="2"/>
  <c r="H110" i="2"/>
  <c r="H109" i="2"/>
  <c r="H108" i="2"/>
  <c r="H107" i="2"/>
  <c r="H106" i="2"/>
  <c r="H105" i="2"/>
  <c r="H104" i="2"/>
  <c r="H103" i="2"/>
  <c r="H102" i="2"/>
  <c r="H101" i="2"/>
  <c r="D77" i="2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76" i="2"/>
  <c r="D54" i="2"/>
  <c r="D55" i="2" s="1"/>
  <c r="D56" i="2" s="1"/>
  <c r="D57" i="2" s="1"/>
  <c r="D53" i="2"/>
  <c r="C52" i="2"/>
  <c r="D31" i="2"/>
  <c r="D32" i="2" s="1"/>
  <c r="D30" i="2"/>
  <c r="D8" i="2"/>
  <c r="D9" i="2" s="1"/>
  <c r="D10" i="2" s="1"/>
  <c r="B6" i="2"/>
  <c r="C7" i="2" s="1"/>
  <c r="J30" i="2" s="1"/>
  <c r="G13" i="1" l="1"/>
  <c r="H13" i="1" s="1"/>
  <c r="J13" i="1"/>
  <c r="I13" i="1"/>
  <c r="H55" i="2"/>
  <c r="I112" i="2"/>
  <c r="J112" i="2"/>
  <c r="J54" i="2"/>
  <c r="J79" i="2"/>
  <c r="J52" i="2"/>
  <c r="H7" i="2"/>
  <c r="J7" i="2"/>
  <c r="H112" i="2"/>
  <c r="H136" i="2"/>
  <c r="D91" i="2"/>
  <c r="D92" i="2" s="1"/>
  <c r="D93" i="2" s="1"/>
  <c r="H90" i="2"/>
  <c r="D58" i="2"/>
  <c r="D59" i="2" s="1"/>
  <c r="D60" i="2" s="1"/>
  <c r="D61" i="2" s="1"/>
  <c r="D62" i="2" s="1"/>
  <c r="H62" i="2" s="1"/>
  <c r="H57" i="2"/>
  <c r="D33" i="2"/>
  <c r="D34" i="2" s="1"/>
  <c r="J32" i="2"/>
  <c r="H32" i="2"/>
  <c r="D11" i="2"/>
  <c r="J10" i="2"/>
  <c r="H9" i="2"/>
  <c r="H34" i="2"/>
  <c r="J31" i="2"/>
  <c r="H30" i="2"/>
  <c r="J9" i="2"/>
  <c r="H8" i="2"/>
  <c r="J8" i="2"/>
  <c r="H10" i="2"/>
  <c r="J93" i="2"/>
  <c r="H92" i="2"/>
  <c r="J89" i="2"/>
  <c r="H88" i="2"/>
  <c r="J85" i="2"/>
  <c r="H84" i="2"/>
  <c r="J81" i="2"/>
  <c r="H80" i="2"/>
  <c r="J77" i="2"/>
  <c r="H76" i="2"/>
  <c r="H93" i="2"/>
  <c r="J90" i="2"/>
  <c r="H89" i="2"/>
  <c r="J86" i="2"/>
  <c r="H85" i="2"/>
  <c r="J82" i="2"/>
  <c r="H81" i="2"/>
  <c r="J78" i="2"/>
  <c r="H77" i="2"/>
  <c r="J59" i="2"/>
  <c r="J55" i="2"/>
  <c r="H54" i="2"/>
  <c r="J92" i="2"/>
  <c r="H91" i="2"/>
  <c r="J88" i="2"/>
  <c r="H87" i="2"/>
  <c r="J84" i="2"/>
  <c r="H83" i="2"/>
  <c r="J80" i="2"/>
  <c r="H79" i="2"/>
  <c r="J76" i="2"/>
  <c r="J57" i="2"/>
  <c r="H56" i="2"/>
  <c r="J53" i="2"/>
  <c r="H52" i="2"/>
  <c r="J56" i="2"/>
  <c r="H59" i="2"/>
  <c r="H78" i="2"/>
  <c r="J83" i="2"/>
  <c r="H86" i="2"/>
  <c r="J91" i="2"/>
  <c r="H113" i="2"/>
  <c r="D114" i="2"/>
  <c r="I113" i="2"/>
  <c r="J113" i="2"/>
  <c r="H138" i="2"/>
  <c r="D139" i="2"/>
  <c r="J11" i="2"/>
  <c r="H31" i="2"/>
  <c r="H33" i="2"/>
  <c r="H53" i="2"/>
  <c r="J58" i="2"/>
  <c r="H61" i="2"/>
  <c r="H82" i="2"/>
  <c r="J87" i="2"/>
  <c r="H137" i="2"/>
  <c r="AF6" i="1"/>
  <c r="J33" i="2" l="1"/>
  <c r="J60" i="2"/>
  <c r="H60" i="2"/>
  <c r="J61" i="2"/>
  <c r="H58" i="2"/>
  <c r="H11" i="2"/>
  <c r="D12" i="2"/>
  <c r="D63" i="2"/>
  <c r="J62" i="2"/>
  <c r="D140" i="2"/>
  <c r="H139" i="2"/>
  <c r="H114" i="2"/>
  <c r="D115" i="2"/>
  <c r="I114" i="2"/>
  <c r="J114" i="2"/>
  <c r="D35" i="2"/>
  <c r="J34" i="2"/>
  <c r="B35" i="1"/>
  <c r="B34" i="1"/>
  <c r="C34" i="1" s="1"/>
  <c r="D34" i="1" s="1"/>
  <c r="E34" i="1" s="1"/>
  <c r="B36" i="1"/>
  <c r="C36" i="1" s="1"/>
  <c r="D36" i="1" s="1"/>
  <c r="E36" i="1" s="1"/>
  <c r="B33" i="1"/>
  <c r="C33" i="1" s="1"/>
  <c r="D33" i="1" s="1"/>
  <c r="E33" i="1" s="1"/>
  <c r="B31" i="1"/>
  <c r="C31" i="1" s="1"/>
  <c r="D31" i="1" s="1"/>
  <c r="E31" i="1" s="1"/>
  <c r="B30" i="1"/>
  <c r="C30" i="1" s="1"/>
  <c r="B29" i="1"/>
  <c r="H115" i="2" l="1"/>
  <c r="D116" i="2"/>
  <c r="I115" i="2"/>
  <c r="J115" i="2"/>
  <c r="D36" i="2"/>
  <c r="J35" i="2"/>
  <c r="H35" i="2"/>
  <c r="D64" i="2"/>
  <c r="J63" i="2"/>
  <c r="H63" i="2"/>
  <c r="D13" i="2"/>
  <c r="J12" i="2"/>
  <c r="H12" i="2"/>
  <c r="H140" i="2"/>
  <c r="D141" i="2"/>
  <c r="C35" i="1"/>
  <c r="D35" i="1" s="1"/>
  <c r="E35" i="1" s="1"/>
  <c r="F34" i="1"/>
  <c r="U34" i="1"/>
  <c r="F36" i="1"/>
  <c r="U36" i="1"/>
  <c r="F33" i="1"/>
  <c r="U33" i="1"/>
  <c r="F31" i="1"/>
  <c r="U31" i="1"/>
  <c r="D30" i="1"/>
  <c r="E30" i="1" s="1"/>
  <c r="C29" i="1"/>
  <c r="D29" i="1" s="1"/>
  <c r="E29" i="1" s="1"/>
  <c r="B477" i="1"/>
  <c r="A482" i="1" s="1"/>
  <c r="U499" i="1"/>
  <c r="V499" i="1" s="1"/>
  <c r="W499" i="1" s="1"/>
  <c r="U498" i="1"/>
  <c r="V498" i="1" s="1"/>
  <c r="W498" i="1" s="1"/>
  <c r="U497" i="1"/>
  <c r="V497" i="1" s="1"/>
  <c r="W497" i="1" s="1"/>
  <c r="U496" i="1"/>
  <c r="V496" i="1" s="1"/>
  <c r="W496" i="1" s="1"/>
  <c r="U495" i="1"/>
  <c r="V495" i="1" s="1"/>
  <c r="W495" i="1" s="1"/>
  <c r="U494" i="1"/>
  <c r="V494" i="1" s="1"/>
  <c r="W494" i="1" s="1"/>
  <c r="U493" i="1"/>
  <c r="V493" i="1" s="1"/>
  <c r="W493" i="1" s="1"/>
  <c r="U492" i="1"/>
  <c r="V492" i="1" s="1"/>
  <c r="W492" i="1" s="1"/>
  <c r="U491" i="1"/>
  <c r="V491" i="1" s="1"/>
  <c r="W491" i="1" s="1"/>
  <c r="U490" i="1"/>
  <c r="V490" i="1" s="1"/>
  <c r="W490" i="1" s="1"/>
  <c r="U489" i="1"/>
  <c r="V489" i="1" s="1"/>
  <c r="W489" i="1" s="1"/>
  <c r="U488" i="1"/>
  <c r="V488" i="1" s="1"/>
  <c r="W488" i="1" s="1"/>
  <c r="U487" i="1"/>
  <c r="V487" i="1" s="1"/>
  <c r="W487" i="1" s="1"/>
  <c r="U486" i="1"/>
  <c r="V486" i="1" s="1"/>
  <c r="W486" i="1" s="1"/>
  <c r="U485" i="1"/>
  <c r="V485" i="1" s="1"/>
  <c r="W485" i="1" s="1"/>
  <c r="U484" i="1"/>
  <c r="V484" i="1" s="1"/>
  <c r="W484" i="1" s="1"/>
  <c r="U483" i="1"/>
  <c r="V483" i="1" s="1"/>
  <c r="W483" i="1" s="1"/>
  <c r="U482" i="1"/>
  <c r="V482" i="1" s="1"/>
  <c r="W482" i="1" s="1"/>
  <c r="U481" i="1"/>
  <c r="V481" i="1" s="1"/>
  <c r="W481" i="1" s="1"/>
  <c r="H393" i="1"/>
  <c r="H394" i="1"/>
  <c r="F426" i="1"/>
  <c r="G426" i="1"/>
  <c r="E426" i="1"/>
  <c r="F425" i="1"/>
  <c r="G425" i="1"/>
  <c r="E425" i="1"/>
  <c r="F416" i="1"/>
  <c r="G416" i="1"/>
  <c r="G415" i="1"/>
  <c r="F415" i="1"/>
  <c r="E416" i="1"/>
  <c r="E415" i="1"/>
  <c r="F406" i="1"/>
  <c r="F405" i="1"/>
  <c r="E406" i="1"/>
  <c r="E405" i="1"/>
  <c r="B406" i="1"/>
  <c r="F394" i="1"/>
  <c r="E394" i="1"/>
  <c r="F393" i="1"/>
  <c r="E393" i="1"/>
  <c r="B395" i="1"/>
  <c r="AD135" i="1"/>
  <c r="AE135" i="1" s="1"/>
  <c r="AF135" i="1" s="1"/>
  <c r="AD134" i="1"/>
  <c r="AE134" i="1" s="1"/>
  <c r="AF134" i="1" s="1"/>
  <c r="AD133" i="1"/>
  <c r="AE133" i="1" s="1"/>
  <c r="AF133" i="1" s="1"/>
  <c r="AD132" i="1"/>
  <c r="AE132" i="1" s="1"/>
  <c r="AF132" i="1" s="1"/>
  <c r="AD131" i="1"/>
  <c r="AE131" i="1" s="1"/>
  <c r="AF131" i="1" s="1"/>
  <c r="AD130" i="1"/>
  <c r="AE130" i="1" s="1"/>
  <c r="AF130" i="1" s="1"/>
  <c r="AD129" i="1"/>
  <c r="AE129" i="1" s="1"/>
  <c r="AF129" i="1" s="1"/>
  <c r="AD128" i="1"/>
  <c r="AE128" i="1" s="1"/>
  <c r="AF128" i="1" s="1"/>
  <c r="AD127" i="1"/>
  <c r="AE127" i="1" s="1"/>
  <c r="AF127" i="1" s="1"/>
  <c r="AD126" i="1"/>
  <c r="AE126" i="1" s="1"/>
  <c r="AF126" i="1" s="1"/>
  <c r="AD125" i="1"/>
  <c r="AE125" i="1" s="1"/>
  <c r="AF125" i="1" s="1"/>
  <c r="AD124" i="1"/>
  <c r="AE124" i="1" s="1"/>
  <c r="AF124" i="1" s="1"/>
  <c r="AD123" i="1"/>
  <c r="AE123" i="1" s="1"/>
  <c r="AF123" i="1" s="1"/>
  <c r="AD122" i="1"/>
  <c r="AE122" i="1" s="1"/>
  <c r="AF122" i="1" s="1"/>
  <c r="AD121" i="1"/>
  <c r="AE121" i="1" s="1"/>
  <c r="AF121" i="1" s="1"/>
  <c r="AD120" i="1"/>
  <c r="AE120" i="1" s="1"/>
  <c r="AF120" i="1" s="1"/>
  <c r="AD119" i="1"/>
  <c r="AE119" i="1" s="1"/>
  <c r="AF119" i="1" s="1"/>
  <c r="AD118" i="1"/>
  <c r="AE118" i="1" s="1"/>
  <c r="AF118" i="1" s="1"/>
  <c r="AD117" i="1"/>
  <c r="AE117" i="1" s="1"/>
  <c r="AF117" i="1" s="1"/>
  <c r="W118" i="1"/>
  <c r="X118" i="1" s="1"/>
  <c r="Y118" i="1" s="1"/>
  <c r="W119" i="1"/>
  <c r="X119" i="1" s="1"/>
  <c r="Y119" i="1" s="1"/>
  <c r="W120" i="1"/>
  <c r="X120" i="1" s="1"/>
  <c r="Y120" i="1" s="1"/>
  <c r="W121" i="1"/>
  <c r="X121" i="1" s="1"/>
  <c r="Y121" i="1" s="1"/>
  <c r="W122" i="1"/>
  <c r="X122" i="1" s="1"/>
  <c r="Y122" i="1" s="1"/>
  <c r="W123" i="1"/>
  <c r="X123" i="1" s="1"/>
  <c r="Y123" i="1" s="1"/>
  <c r="W124" i="1"/>
  <c r="X124" i="1" s="1"/>
  <c r="Y124" i="1" s="1"/>
  <c r="W125" i="1"/>
  <c r="X125" i="1" s="1"/>
  <c r="Y125" i="1" s="1"/>
  <c r="W126" i="1"/>
  <c r="X126" i="1" s="1"/>
  <c r="Y126" i="1" s="1"/>
  <c r="W127" i="1"/>
  <c r="X127" i="1" s="1"/>
  <c r="Y127" i="1" s="1"/>
  <c r="W128" i="1"/>
  <c r="X128" i="1" s="1"/>
  <c r="Y128" i="1" s="1"/>
  <c r="W129" i="1"/>
  <c r="X129" i="1" s="1"/>
  <c r="Y129" i="1" s="1"/>
  <c r="W130" i="1"/>
  <c r="X130" i="1" s="1"/>
  <c r="Y130" i="1" s="1"/>
  <c r="W131" i="1"/>
  <c r="X131" i="1" s="1"/>
  <c r="Y131" i="1" s="1"/>
  <c r="W132" i="1"/>
  <c r="X132" i="1" s="1"/>
  <c r="Y132" i="1" s="1"/>
  <c r="W133" i="1"/>
  <c r="X133" i="1" s="1"/>
  <c r="Y133" i="1" s="1"/>
  <c r="W134" i="1"/>
  <c r="X134" i="1" s="1"/>
  <c r="Y134" i="1" s="1"/>
  <c r="W135" i="1"/>
  <c r="X135" i="1" s="1"/>
  <c r="Y135" i="1" s="1"/>
  <c r="W117" i="1"/>
  <c r="X117" i="1" s="1"/>
  <c r="Y117" i="1" s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90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55" i="1"/>
  <c r="B39" i="1"/>
  <c r="C39" i="1" s="1"/>
  <c r="D39" i="1" s="1"/>
  <c r="B38" i="1"/>
  <c r="C38" i="1" s="1"/>
  <c r="D38" i="1" s="1"/>
  <c r="B37" i="1"/>
  <c r="C37" i="1" s="1"/>
  <c r="D37" i="1" s="1"/>
  <c r="B32" i="1"/>
  <c r="C32" i="1" s="1"/>
  <c r="D32" i="1" s="1"/>
  <c r="B28" i="1"/>
  <c r="C28" i="1" s="1"/>
  <c r="D28" i="1" s="1"/>
  <c r="B27" i="1"/>
  <c r="C27" i="1" s="1"/>
  <c r="D27" i="1" s="1"/>
  <c r="B26" i="1"/>
  <c r="C26" i="1" s="1"/>
  <c r="D26" i="1" s="1"/>
  <c r="B25" i="1"/>
  <c r="C25" i="1" s="1"/>
  <c r="D25" i="1" s="1"/>
  <c r="B24" i="1"/>
  <c r="C24" i="1" s="1"/>
  <c r="D24" i="1" s="1"/>
  <c r="B15" i="1"/>
  <c r="C15" i="1" s="1"/>
  <c r="D15" i="1" s="1"/>
  <c r="E15" i="1" s="1"/>
  <c r="B16" i="1"/>
  <c r="C16" i="1" s="1"/>
  <c r="D16" i="1" s="1"/>
  <c r="E16" i="1" s="1"/>
  <c r="B17" i="1"/>
  <c r="C17" i="1" s="1"/>
  <c r="D17" i="1" s="1"/>
  <c r="E17" i="1" s="1"/>
  <c r="B18" i="1"/>
  <c r="C18" i="1" s="1"/>
  <c r="D18" i="1" s="1"/>
  <c r="E18" i="1" s="1"/>
  <c r="B19" i="1"/>
  <c r="C19" i="1" s="1"/>
  <c r="D19" i="1" s="1"/>
  <c r="E19" i="1" s="1"/>
  <c r="B20" i="1"/>
  <c r="C20" i="1" s="1"/>
  <c r="D20" i="1" s="1"/>
  <c r="E20" i="1" s="1"/>
  <c r="B21" i="1"/>
  <c r="C21" i="1" s="1"/>
  <c r="D21" i="1" s="1"/>
  <c r="E21" i="1" s="1"/>
  <c r="B22" i="1"/>
  <c r="C22" i="1" s="1"/>
  <c r="D22" i="1" s="1"/>
  <c r="E22" i="1" s="1"/>
  <c r="B23" i="1"/>
  <c r="C23" i="1" s="1"/>
  <c r="D23" i="1" s="1"/>
  <c r="E23" i="1" s="1"/>
  <c r="B14" i="1"/>
  <c r="C14" i="1" s="1"/>
  <c r="D14" i="1" s="1"/>
  <c r="E14" i="1" s="1"/>
  <c r="G34" i="1" l="1"/>
  <c r="V34" i="1" s="1"/>
  <c r="I34" i="1"/>
  <c r="J34" i="1"/>
  <c r="G31" i="1"/>
  <c r="V31" i="1" s="1"/>
  <c r="J31" i="1"/>
  <c r="I31" i="1"/>
  <c r="G33" i="1"/>
  <c r="H33" i="1" s="1"/>
  <c r="J33" i="1"/>
  <c r="I33" i="1"/>
  <c r="G36" i="1"/>
  <c r="V36" i="1" s="1"/>
  <c r="I36" i="1"/>
  <c r="J36" i="1"/>
  <c r="D65" i="2"/>
  <c r="H64" i="2"/>
  <c r="J64" i="2"/>
  <c r="D142" i="2"/>
  <c r="H141" i="2"/>
  <c r="D14" i="2"/>
  <c r="J13" i="2"/>
  <c r="H13" i="2"/>
  <c r="H116" i="2"/>
  <c r="D117" i="2"/>
  <c r="I116" i="2"/>
  <c r="J116" i="2"/>
  <c r="F14" i="1"/>
  <c r="U14" i="1"/>
  <c r="D37" i="2"/>
  <c r="H36" i="2"/>
  <c r="J36" i="2"/>
  <c r="U35" i="1"/>
  <c r="F35" i="1"/>
  <c r="H36" i="1"/>
  <c r="H31" i="1"/>
  <c r="F30" i="1"/>
  <c r="U30" i="1"/>
  <c r="U29" i="1"/>
  <c r="F29" i="1"/>
  <c r="F18" i="1"/>
  <c r="U18" i="1"/>
  <c r="F22" i="1"/>
  <c r="U22" i="1"/>
  <c r="F21" i="1"/>
  <c r="U21" i="1"/>
  <c r="F20" i="1"/>
  <c r="U20" i="1"/>
  <c r="F16" i="1"/>
  <c r="U16" i="1"/>
  <c r="F17" i="1"/>
  <c r="U17" i="1"/>
  <c r="F23" i="1"/>
  <c r="U23" i="1"/>
  <c r="F19" i="1"/>
  <c r="U19" i="1"/>
  <c r="F15" i="1"/>
  <c r="U15" i="1"/>
  <c r="A497" i="1"/>
  <c r="A493" i="1"/>
  <c r="A489" i="1"/>
  <c r="A485" i="1"/>
  <c r="A481" i="1"/>
  <c r="A496" i="1"/>
  <c r="A492" i="1"/>
  <c r="A488" i="1"/>
  <c r="A484" i="1"/>
  <c r="A499" i="1"/>
  <c r="A495" i="1"/>
  <c r="A491" i="1"/>
  <c r="A487" i="1"/>
  <c r="A483" i="1"/>
  <c r="A498" i="1"/>
  <c r="A494" i="1"/>
  <c r="A490" i="1"/>
  <c r="A486" i="1"/>
  <c r="Y440" i="1"/>
  <c r="Z440" i="1" s="1"/>
  <c r="AA440" i="1" s="1"/>
  <c r="U440" i="1"/>
  <c r="V440" i="1" s="1"/>
  <c r="W440" i="1" s="1"/>
  <c r="Y442" i="1"/>
  <c r="Z442" i="1" s="1"/>
  <c r="AA442" i="1" s="1"/>
  <c r="U442" i="1"/>
  <c r="V442" i="1" s="1"/>
  <c r="W442" i="1" s="1"/>
  <c r="Y444" i="1"/>
  <c r="Z444" i="1" s="1"/>
  <c r="AA444" i="1" s="1"/>
  <c r="U444" i="1"/>
  <c r="V444" i="1" s="1"/>
  <c r="W444" i="1" s="1"/>
  <c r="Y446" i="1"/>
  <c r="Z446" i="1" s="1"/>
  <c r="AA446" i="1" s="1"/>
  <c r="U446" i="1"/>
  <c r="V446" i="1" s="1"/>
  <c r="W446" i="1" s="1"/>
  <c r="Y448" i="1"/>
  <c r="Z448" i="1" s="1"/>
  <c r="AA448" i="1" s="1"/>
  <c r="U448" i="1"/>
  <c r="V448" i="1" s="1"/>
  <c r="W448" i="1" s="1"/>
  <c r="Y450" i="1"/>
  <c r="Z450" i="1" s="1"/>
  <c r="AA450" i="1" s="1"/>
  <c r="U450" i="1"/>
  <c r="V450" i="1" s="1"/>
  <c r="W450" i="1" s="1"/>
  <c r="Y452" i="1"/>
  <c r="Z452" i="1" s="1"/>
  <c r="AA452" i="1" s="1"/>
  <c r="U452" i="1"/>
  <c r="V452" i="1" s="1"/>
  <c r="W452" i="1" s="1"/>
  <c r="Y454" i="1"/>
  <c r="Z454" i="1" s="1"/>
  <c r="AA454" i="1" s="1"/>
  <c r="U454" i="1"/>
  <c r="V454" i="1" s="1"/>
  <c r="W454" i="1" s="1"/>
  <c r="Y456" i="1"/>
  <c r="Z456" i="1" s="1"/>
  <c r="AA456" i="1" s="1"/>
  <c r="U456" i="1"/>
  <c r="V456" i="1" s="1"/>
  <c r="W456" i="1" s="1"/>
  <c r="Y458" i="1"/>
  <c r="Z458" i="1" s="1"/>
  <c r="AA458" i="1" s="1"/>
  <c r="U458" i="1"/>
  <c r="V458" i="1" s="1"/>
  <c r="W458" i="1" s="1"/>
  <c r="U441" i="1"/>
  <c r="V441" i="1" s="1"/>
  <c r="W441" i="1" s="1"/>
  <c r="Y441" i="1"/>
  <c r="Z441" i="1" s="1"/>
  <c r="AA441" i="1" s="1"/>
  <c r="U443" i="1"/>
  <c r="V443" i="1" s="1"/>
  <c r="W443" i="1" s="1"/>
  <c r="Y443" i="1"/>
  <c r="Z443" i="1" s="1"/>
  <c r="AA443" i="1" s="1"/>
  <c r="U445" i="1"/>
  <c r="V445" i="1" s="1"/>
  <c r="W445" i="1" s="1"/>
  <c r="Y445" i="1"/>
  <c r="Z445" i="1" s="1"/>
  <c r="AA445" i="1" s="1"/>
  <c r="U447" i="1"/>
  <c r="V447" i="1" s="1"/>
  <c r="W447" i="1" s="1"/>
  <c r="Y447" i="1"/>
  <c r="Z447" i="1" s="1"/>
  <c r="AA447" i="1" s="1"/>
  <c r="U449" i="1"/>
  <c r="V449" i="1" s="1"/>
  <c r="W449" i="1" s="1"/>
  <c r="Y449" i="1"/>
  <c r="Z449" i="1" s="1"/>
  <c r="AA449" i="1" s="1"/>
  <c r="U451" i="1"/>
  <c r="V451" i="1" s="1"/>
  <c r="W451" i="1" s="1"/>
  <c r="Y451" i="1"/>
  <c r="Z451" i="1" s="1"/>
  <c r="AA451" i="1" s="1"/>
  <c r="U453" i="1"/>
  <c r="V453" i="1" s="1"/>
  <c r="W453" i="1" s="1"/>
  <c r="Y453" i="1"/>
  <c r="Z453" i="1" s="1"/>
  <c r="AA453" i="1" s="1"/>
  <c r="Y455" i="1"/>
  <c r="Z455" i="1" s="1"/>
  <c r="AA455" i="1" s="1"/>
  <c r="U455" i="1"/>
  <c r="V455" i="1" s="1"/>
  <c r="W455" i="1" s="1"/>
  <c r="Y457" i="1"/>
  <c r="Z457" i="1" s="1"/>
  <c r="AA457" i="1" s="1"/>
  <c r="U457" i="1"/>
  <c r="V457" i="1" s="1"/>
  <c r="W457" i="1" s="1"/>
  <c r="C90" i="1"/>
  <c r="D90" i="1" s="1"/>
  <c r="E90" i="1" s="1"/>
  <c r="F90" i="1" s="1"/>
  <c r="G90" i="1" s="1"/>
  <c r="C91" i="1"/>
  <c r="D91" i="1" s="1"/>
  <c r="E91" i="1" s="1"/>
  <c r="F91" i="1" s="1"/>
  <c r="G91" i="1" s="1"/>
  <c r="H91" i="1" s="1"/>
  <c r="C92" i="1"/>
  <c r="D92" i="1" s="1"/>
  <c r="E92" i="1" s="1"/>
  <c r="C93" i="1"/>
  <c r="D93" i="1" s="1"/>
  <c r="E93" i="1" s="1"/>
  <c r="C94" i="1"/>
  <c r="D94" i="1" s="1"/>
  <c r="E94" i="1" s="1"/>
  <c r="C95" i="1"/>
  <c r="D95" i="1" s="1"/>
  <c r="E95" i="1" s="1"/>
  <c r="C96" i="1"/>
  <c r="D96" i="1" s="1"/>
  <c r="E96" i="1" s="1"/>
  <c r="C97" i="1"/>
  <c r="D97" i="1" s="1"/>
  <c r="E97" i="1" s="1"/>
  <c r="C98" i="1"/>
  <c r="D98" i="1" s="1"/>
  <c r="E98" i="1" s="1"/>
  <c r="C99" i="1"/>
  <c r="D99" i="1" s="1"/>
  <c r="E99" i="1" s="1"/>
  <c r="C100" i="1"/>
  <c r="D100" i="1" s="1"/>
  <c r="E100" i="1" s="1"/>
  <c r="C101" i="1"/>
  <c r="D101" i="1" s="1"/>
  <c r="E101" i="1" s="1"/>
  <c r="C102" i="1"/>
  <c r="D102" i="1" s="1"/>
  <c r="E102" i="1" s="1"/>
  <c r="C103" i="1"/>
  <c r="D103" i="1" s="1"/>
  <c r="E103" i="1" s="1"/>
  <c r="C104" i="1"/>
  <c r="D104" i="1" s="1"/>
  <c r="E104" i="1" s="1"/>
  <c r="C105" i="1"/>
  <c r="D105" i="1" s="1"/>
  <c r="E105" i="1" s="1"/>
  <c r="C106" i="1"/>
  <c r="D106" i="1" s="1"/>
  <c r="E106" i="1" s="1"/>
  <c r="C107" i="1"/>
  <c r="D107" i="1" s="1"/>
  <c r="E107" i="1" s="1"/>
  <c r="C108" i="1"/>
  <c r="D108" i="1" s="1"/>
  <c r="E108" i="1" s="1"/>
  <c r="C55" i="1"/>
  <c r="D55" i="1" s="1"/>
  <c r="E55" i="1" s="1"/>
  <c r="F55" i="1" s="1"/>
  <c r="G55" i="1" s="1"/>
  <c r="C56" i="1"/>
  <c r="D56" i="1" s="1"/>
  <c r="E56" i="1" s="1"/>
  <c r="F56" i="1" s="1"/>
  <c r="G56" i="1" s="1"/>
  <c r="H56" i="1" s="1"/>
  <c r="C57" i="1"/>
  <c r="D57" i="1" s="1"/>
  <c r="E57" i="1" s="1"/>
  <c r="C58" i="1"/>
  <c r="D58" i="1" s="1"/>
  <c r="E58" i="1" s="1"/>
  <c r="C59" i="1"/>
  <c r="D59" i="1" s="1"/>
  <c r="E59" i="1" s="1"/>
  <c r="C60" i="1"/>
  <c r="D60" i="1" s="1"/>
  <c r="E60" i="1" s="1"/>
  <c r="C61" i="1"/>
  <c r="D61" i="1" s="1"/>
  <c r="E61" i="1" s="1"/>
  <c r="C62" i="1"/>
  <c r="D62" i="1" s="1"/>
  <c r="E62" i="1" s="1"/>
  <c r="C63" i="1"/>
  <c r="D63" i="1" s="1"/>
  <c r="E63" i="1" s="1"/>
  <c r="C64" i="1"/>
  <c r="D64" i="1" s="1"/>
  <c r="E64" i="1" s="1"/>
  <c r="C65" i="1"/>
  <c r="D65" i="1" s="1"/>
  <c r="E65" i="1" s="1"/>
  <c r="C66" i="1"/>
  <c r="D66" i="1" s="1"/>
  <c r="E66" i="1" s="1"/>
  <c r="C67" i="1"/>
  <c r="D67" i="1" s="1"/>
  <c r="E67" i="1" s="1"/>
  <c r="C68" i="1"/>
  <c r="D68" i="1" s="1"/>
  <c r="E68" i="1" s="1"/>
  <c r="C69" i="1"/>
  <c r="D69" i="1" s="1"/>
  <c r="E69" i="1" s="1"/>
  <c r="C70" i="1"/>
  <c r="D70" i="1" s="1"/>
  <c r="E70" i="1" s="1"/>
  <c r="C71" i="1"/>
  <c r="D71" i="1" s="1"/>
  <c r="E71" i="1" s="1"/>
  <c r="C72" i="1"/>
  <c r="D72" i="1" s="1"/>
  <c r="E72" i="1" s="1"/>
  <c r="C73" i="1"/>
  <c r="D73" i="1" s="1"/>
  <c r="E73" i="1" s="1"/>
  <c r="E39" i="1"/>
  <c r="E38" i="1"/>
  <c r="E37" i="1"/>
  <c r="E32" i="1"/>
  <c r="E28" i="1"/>
  <c r="E27" i="1"/>
  <c r="E26" i="1"/>
  <c r="E25" i="1"/>
  <c r="E24" i="1"/>
  <c r="H34" i="1" l="1"/>
  <c r="G14" i="1"/>
  <c r="J14" i="1"/>
  <c r="I14" i="1"/>
  <c r="G23" i="1"/>
  <c r="H23" i="1" s="1"/>
  <c r="J23" i="1"/>
  <c r="I23" i="1"/>
  <c r="G30" i="1"/>
  <c r="H30" i="1" s="1"/>
  <c r="J30" i="1"/>
  <c r="I30" i="1"/>
  <c r="G35" i="1"/>
  <c r="I35" i="1"/>
  <c r="J35" i="1"/>
  <c r="G17" i="1"/>
  <c r="I17" i="1"/>
  <c r="J17" i="1"/>
  <c r="G22" i="1"/>
  <c r="J22" i="1"/>
  <c r="I22" i="1"/>
  <c r="G15" i="1"/>
  <c r="J15" i="1"/>
  <c r="I15" i="1"/>
  <c r="G16" i="1"/>
  <c r="I16" i="1"/>
  <c r="J16" i="1"/>
  <c r="G18" i="1"/>
  <c r="V18" i="1" s="1"/>
  <c r="I18" i="1"/>
  <c r="J18" i="1"/>
  <c r="V33" i="1"/>
  <c r="G21" i="1"/>
  <c r="J21" i="1"/>
  <c r="I21" i="1"/>
  <c r="G29" i="1"/>
  <c r="J29" i="1"/>
  <c r="I29" i="1"/>
  <c r="G19" i="1"/>
  <c r="I19" i="1"/>
  <c r="J19" i="1"/>
  <c r="G20" i="1"/>
  <c r="J20" i="1"/>
  <c r="I20" i="1"/>
  <c r="F73" i="1"/>
  <c r="G73" i="1" s="1"/>
  <c r="U73" i="1"/>
  <c r="F69" i="1"/>
  <c r="G69" i="1" s="1"/>
  <c r="U69" i="1"/>
  <c r="F57" i="1"/>
  <c r="G57" i="1" s="1"/>
  <c r="U57" i="1"/>
  <c r="F99" i="1"/>
  <c r="G99" i="1" s="1"/>
  <c r="U99" i="1"/>
  <c r="F95" i="1"/>
  <c r="G95" i="1" s="1"/>
  <c r="U95" i="1"/>
  <c r="H142" i="2"/>
  <c r="D143" i="2"/>
  <c r="F72" i="1"/>
  <c r="G72" i="1" s="1"/>
  <c r="U72" i="1"/>
  <c r="F68" i="1"/>
  <c r="G68" i="1" s="1"/>
  <c r="U68" i="1"/>
  <c r="F64" i="1"/>
  <c r="G64" i="1" s="1"/>
  <c r="U64" i="1"/>
  <c r="F60" i="1"/>
  <c r="G60" i="1" s="1"/>
  <c r="U60" i="1"/>
  <c r="F106" i="1"/>
  <c r="G106" i="1" s="1"/>
  <c r="U106" i="1"/>
  <c r="F102" i="1"/>
  <c r="G102" i="1" s="1"/>
  <c r="U102" i="1"/>
  <c r="F98" i="1"/>
  <c r="G98" i="1" s="1"/>
  <c r="U98" i="1"/>
  <c r="F94" i="1"/>
  <c r="G94" i="1" s="1"/>
  <c r="U94" i="1"/>
  <c r="D38" i="2"/>
  <c r="J37" i="2"/>
  <c r="H37" i="2"/>
  <c r="F61" i="1"/>
  <c r="G61" i="1" s="1"/>
  <c r="U61" i="1"/>
  <c r="F103" i="1"/>
  <c r="G103" i="1" s="1"/>
  <c r="U103" i="1"/>
  <c r="F71" i="1"/>
  <c r="G71" i="1" s="1"/>
  <c r="U71" i="1"/>
  <c r="F67" i="1"/>
  <c r="G67" i="1" s="1"/>
  <c r="U67" i="1"/>
  <c r="F63" i="1"/>
  <c r="G63" i="1" s="1"/>
  <c r="U63" i="1"/>
  <c r="F59" i="1"/>
  <c r="G59" i="1" s="1"/>
  <c r="U59" i="1"/>
  <c r="F105" i="1"/>
  <c r="G105" i="1" s="1"/>
  <c r="U105" i="1"/>
  <c r="F101" i="1"/>
  <c r="G101" i="1" s="1"/>
  <c r="U101" i="1"/>
  <c r="F97" i="1"/>
  <c r="G97" i="1" s="1"/>
  <c r="U97" i="1"/>
  <c r="F93" i="1"/>
  <c r="G93" i="1" s="1"/>
  <c r="U93" i="1"/>
  <c r="H117" i="2"/>
  <c r="D118" i="2"/>
  <c r="I117" i="2"/>
  <c r="J117" i="2"/>
  <c r="D15" i="2"/>
  <c r="J14" i="2"/>
  <c r="H14" i="2"/>
  <c r="F65" i="1"/>
  <c r="G65" i="1" s="1"/>
  <c r="U65" i="1"/>
  <c r="F107" i="1"/>
  <c r="G107" i="1" s="1"/>
  <c r="U107" i="1"/>
  <c r="F70" i="1"/>
  <c r="G70" i="1" s="1"/>
  <c r="U70" i="1"/>
  <c r="F66" i="1"/>
  <c r="G66" i="1" s="1"/>
  <c r="U66" i="1"/>
  <c r="F62" i="1"/>
  <c r="G62" i="1" s="1"/>
  <c r="U62" i="1"/>
  <c r="F58" i="1"/>
  <c r="G58" i="1" s="1"/>
  <c r="U58" i="1"/>
  <c r="F108" i="1"/>
  <c r="G108" i="1" s="1"/>
  <c r="U108" i="1"/>
  <c r="F104" i="1"/>
  <c r="G104" i="1" s="1"/>
  <c r="U104" i="1"/>
  <c r="F100" i="1"/>
  <c r="G100" i="1" s="1"/>
  <c r="U100" i="1"/>
  <c r="F96" i="1"/>
  <c r="G96" i="1" s="1"/>
  <c r="U96" i="1"/>
  <c r="F92" i="1"/>
  <c r="G92" i="1" s="1"/>
  <c r="U92" i="1"/>
  <c r="D66" i="2"/>
  <c r="H65" i="2"/>
  <c r="J65" i="2"/>
  <c r="H35" i="1"/>
  <c r="V35" i="1"/>
  <c r="H29" i="1"/>
  <c r="V29" i="1"/>
  <c r="H17" i="1"/>
  <c r="V17" i="1"/>
  <c r="H22" i="1"/>
  <c r="V22" i="1"/>
  <c r="F38" i="1"/>
  <c r="U38" i="1"/>
  <c r="F24" i="1"/>
  <c r="U24" i="1"/>
  <c r="F28" i="1"/>
  <c r="U28" i="1"/>
  <c r="F39" i="1"/>
  <c r="U39" i="1"/>
  <c r="F25" i="1"/>
  <c r="U25" i="1"/>
  <c r="F32" i="1"/>
  <c r="U32" i="1"/>
  <c r="F26" i="1"/>
  <c r="U26" i="1"/>
  <c r="F37" i="1"/>
  <c r="U37" i="1"/>
  <c r="H19" i="1"/>
  <c r="V19" i="1"/>
  <c r="H20" i="1"/>
  <c r="V20" i="1"/>
  <c r="F27" i="1"/>
  <c r="U27" i="1"/>
  <c r="H15" i="1"/>
  <c r="V15" i="1"/>
  <c r="V23" i="1"/>
  <c r="H16" i="1"/>
  <c r="V16" i="1"/>
  <c r="H21" i="1"/>
  <c r="V21" i="1"/>
  <c r="H18" i="1"/>
  <c r="H55" i="1"/>
  <c r="H90" i="1"/>
  <c r="V30" i="1" l="1"/>
  <c r="V14" i="1"/>
  <c r="H14" i="1"/>
  <c r="G32" i="1"/>
  <c r="H32" i="1" s="1"/>
  <c r="J32" i="1"/>
  <c r="I32" i="1"/>
  <c r="G24" i="1"/>
  <c r="H24" i="1" s="1"/>
  <c r="I24" i="1"/>
  <c r="J24" i="1"/>
  <c r="G25" i="1"/>
  <c r="V25" i="1" s="1"/>
  <c r="I25" i="1"/>
  <c r="J25" i="1"/>
  <c r="G38" i="1"/>
  <c r="J38" i="1"/>
  <c r="I38" i="1"/>
  <c r="G37" i="1"/>
  <c r="J37" i="1"/>
  <c r="I37" i="1"/>
  <c r="G39" i="1"/>
  <c r="J39" i="1"/>
  <c r="I39" i="1"/>
  <c r="G27" i="1"/>
  <c r="V27" i="1" s="1"/>
  <c r="I27" i="1"/>
  <c r="J27" i="1"/>
  <c r="G26" i="1"/>
  <c r="V26" i="1" s="1"/>
  <c r="I26" i="1"/>
  <c r="J26" i="1"/>
  <c r="G28" i="1"/>
  <c r="V28" i="1" s="1"/>
  <c r="I28" i="1"/>
  <c r="J28" i="1"/>
  <c r="D67" i="2"/>
  <c r="H66" i="2"/>
  <c r="J66" i="2"/>
  <c r="H104" i="1"/>
  <c r="V104" i="1"/>
  <c r="D16" i="2"/>
  <c r="J15" i="2"/>
  <c r="H15" i="2"/>
  <c r="H97" i="1"/>
  <c r="V97" i="1"/>
  <c r="H105" i="1"/>
  <c r="V105" i="1"/>
  <c r="H63" i="1"/>
  <c r="V63" i="1"/>
  <c r="H71" i="1"/>
  <c r="V71" i="1"/>
  <c r="H61" i="1"/>
  <c r="V61" i="1"/>
  <c r="D144" i="2"/>
  <c r="H143" i="2"/>
  <c r="H92" i="1"/>
  <c r="V92" i="1"/>
  <c r="H100" i="1"/>
  <c r="V100" i="1"/>
  <c r="H108" i="1"/>
  <c r="V108" i="1"/>
  <c r="H62" i="1"/>
  <c r="V62" i="1"/>
  <c r="H70" i="1"/>
  <c r="V70" i="1"/>
  <c r="H65" i="1"/>
  <c r="V65" i="1"/>
  <c r="H94" i="1"/>
  <c r="V94" i="1"/>
  <c r="H102" i="1"/>
  <c r="V102" i="1"/>
  <c r="H60" i="1"/>
  <c r="V60" i="1"/>
  <c r="H68" i="1"/>
  <c r="V68" i="1"/>
  <c r="H99" i="1"/>
  <c r="V99" i="1"/>
  <c r="H69" i="1"/>
  <c r="V69" i="1"/>
  <c r="H93" i="1"/>
  <c r="V93" i="1"/>
  <c r="H101" i="1"/>
  <c r="V101" i="1"/>
  <c r="H59" i="1"/>
  <c r="V59" i="1"/>
  <c r="H67" i="1"/>
  <c r="V67" i="1"/>
  <c r="H103" i="1"/>
  <c r="V103" i="1"/>
  <c r="H96" i="1"/>
  <c r="V96" i="1"/>
  <c r="H58" i="1"/>
  <c r="V58" i="1"/>
  <c r="H66" i="1"/>
  <c r="V66" i="1"/>
  <c r="H107" i="1"/>
  <c r="V107" i="1"/>
  <c r="H118" i="2"/>
  <c r="D119" i="2"/>
  <c r="I118" i="2"/>
  <c r="J118" i="2"/>
  <c r="D39" i="2"/>
  <c r="H38" i="2"/>
  <c r="J38" i="2"/>
  <c r="H98" i="1"/>
  <c r="V98" i="1"/>
  <c r="H106" i="1"/>
  <c r="V106" i="1"/>
  <c r="H64" i="1"/>
  <c r="V64" i="1"/>
  <c r="H72" i="1"/>
  <c r="V72" i="1"/>
  <c r="H95" i="1"/>
  <c r="V95" i="1"/>
  <c r="H57" i="1"/>
  <c r="V57" i="1"/>
  <c r="H73" i="1"/>
  <c r="V73" i="1"/>
  <c r="H27" i="1"/>
  <c r="H28" i="1"/>
  <c r="H38" i="1"/>
  <c r="V38" i="1"/>
  <c r="H37" i="1"/>
  <c r="V37" i="1"/>
  <c r="H39" i="1"/>
  <c r="V39" i="1"/>
  <c r="H26" i="1" l="1"/>
  <c r="V24" i="1"/>
  <c r="V32" i="1"/>
  <c r="H25" i="1"/>
  <c r="D40" i="2"/>
  <c r="H39" i="2"/>
  <c r="J39" i="2"/>
  <c r="H144" i="2"/>
  <c r="D145" i="2"/>
  <c r="H119" i="2"/>
  <c r="D120" i="2"/>
  <c r="I119" i="2"/>
  <c r="J119" i="2"/>
  <c r="D17" i="2"/>
  <c r="J16" i="2"/>
  <c r="H16" i="2"/>
  <c r="D68" i="2"/>
  <c r="H67" i="2"/>
  <c r="J67" i="2"/>
  <c r="D18" i="2" l="1"/>
  <c r="J17" i="2"/>
  <c r="H17" i="2"/>
  <c r="D69" i="2"/>
  <c r="H68" i="2"/>
  <c r="J68" i="2"/>
  <c r="D146" i="2"/>
  <c r="H145" i="2"/>
  <c r="D41" i="2"/>
  <c r="H40" i="2"/>
  <c r="J40" i="2"/>
  <c r="H120" i="2"/>
  <c r="D121" i="2"/>
  <c r="I120" i="2"/>
  <c r="J120" i="2"/>
  <c r="H121" i="2" l="1"/>
  <c r="D122" i="2"/>
  <c r="I121" i="2"/>
  <c r="J121" i="2"/>
  <c r="D42" i="2"/>
  <c r="H41" i="2"/>
  <c r="J41" i="2"/>
  <c r="D19" i="2"/>
  <c r="H18" i="2"/>
  <c r="J18" i="2"/>
  <c r="D70" i="2"/>
  <c r="H69" i="2"/>
  <c r="J69" i="2"/>
  <c r="H146" i="2"/>
  <c r="C381" i="1"/>
  <c r="H122" i="2" l="1"/>
  <c r="D123" i="2"/>
  <c r="I122" i="2"/>
  <c r="J122" i="2"/>
  <c r="D43" i="2"/>
  <c r="J42" i="2"/>
  <c r="H42" i="2"/>
  <c r="D20" i="2"/>
  <c r="J19" i="2"/>
  <c r="H19" i="2"/>
  <c r="C382" i="1"/>
  <c r="G381" i="1"/>
  <c r="D71" i="2"/>
  <c r="J70" i="2"/>
  <c r="H70" i="2"/>
  <c r="D72" i="2" l="1"/>
  <c r="H71" i="2"/>
  <c r="J71" i="2"/>
  <c r="D44" i="2"/>
  <c r="H43" i="2"/>
  <c r="J43" i="2"/>
  <c r="D21" i="2"/>
  <c r="J20" i="2"/>
  <c r="H20" i="2"/>
  <c r="C383" i="1"/>
  <c r="G382" i="1"/>
  <c r="H123" i="2"/>
  <c r="D124" i="2"/>
  <c r="I123" i="2"/>
  <c r="J123" i="2"/>
  <c r="H124" i="2" l="1"/>
  <c r="D125" i="2"/>
  <c r="I124" i="2"/>
  <c r="J124" i="2"/>
  <c r="J72" i="2"/>
  <c r="H72" i="2"/>
  <c r="D45" i="2"/>
  <c r="J44" i="2"/>
  <c r="H44" i="2"/>
  <c r="H21" i="2"/>
  <c r="D22" i="2"/>
  <c r="J21" i="2"/>
  <c r="C384" i="1"/>
  <c r="G383" i="1"/>
  <c r="C385" i="1" l="1"/>
  <c r="G384" i="1"/>
  <c r="D23" i="2"/>
  <c r="H22" i="2"/>
  <c r="J22" i="2"/>
  <c r="D46" i="2"/>
  <c r="J45" i="2"/>
  <c r="H45" i="2"/>
  <c r="H125" i="2"/>
  <c r="D126" i="2"/>
  <c r="I125" i="2"/>
  <c r="J125" i="2"/>
  <c r="C386" i="1" l="1"/>
  <c r="G385" i="1"/>
  <c r="D24" i="2"/>
  <c r="J23" i="2"/>
  <c r="H23" i="2"/>
  <c r="H126" i="2"/>
  <c r="D127" i="2"/>
  <c r="I126" i="2"/>
  <c r="J126" i="2"/>
  <c r="D47" i="2"/>
  <c r="J46" i="2"/>
  <c r="H46" i="2"/>
  <c r="D25" i="2" l="1"/>
  <c r="H24" i="2"/>
  <c r="J24" i="2"/>
  <c r="H127" i="2"/>
  <c r="D128" i="2"/>
  <c r="I127" i="2"/>
  <c r="J127" i="2"/>
  <c r="J47" i="2"/>
  <c r="H47" i="2"/>
  <c r="C387" i="1"/>
  <c r="G387" i="1" s="1"/>
  <c r="G386" i="1"/>
  <c r="H128" i="2" l="1"/>
  <c r="D129" i="2"/>
  <c r="I128" i="2"/>
  <c r="J128" i="2"/>
  <c r="D26" i="2"/>
  <c r="H25" i="2"/>
  <c r="J25" i="2"/>
  <c r="H129" i="2" l="1"/>
  <c r="D130" i="2"/>
  <c r="I129" i="2"/>
  <c r="J129" i="2"/>
  <c r="D27" i="2"/>
  <c r="J26" i="2"/>
  <c r="H26" i="2"/>
  <c r="H130" i="2" l="1"/>
  <c r="D131" i="2"/>
  <c r="I130" i="2"/>
  <c r="J130" i="2"/>
  <c r="H27" i="2"/>
  <c r="J27" i="2"/>
  <c r="H131" i="2" l="1"/>
  <c r="I131" i="2"/>
  <c r="J131" i="2"/>
</calcChain>
</file>

<file path=xl/sharedStrings.xml><?xml version="1.0" encoding="utf-8"?>
<sst xmlns="http://schemas.openxmlformats.org/spreadsheetml/2006/main" count="223" uniqueCount="91">
  <si>
    <t>T=</t>
  </si>
  <si>
    <t>d</t>
  </si>
  <si>
    <t>σ^2*d/g</t>
  </si>
  <si>
    <t>d1</t>
  </si>
  <si>
    <t>d2</t>
  </si>
  <si>
    <t>d3</t>
  </si>
  <si>
    <t>d4</t>
  </si>
  <si>
    <t>d5</t>
  </si>
  <si>
    <t>d6</t>
  </si>
  <si>
    <t>sommatoria</t>
  </si>
  <si>
    <t>frazione</t>
  </si>
  <si>
    <t>kd</t>
  </si>
  <si>
    <t>k</t>
  </si>
  <si>
    <t>L</t>
  </si>
  <si>
    <t>c</t>
  </si>
  <si>
    <t>ESERCITAZIONE 1.1</t>
  </si>
  <si>
    <t>Ho=</t>
  </si>
  <si>
    <t>m</t>
  </si>
  <si>
    <t>sec</t>
  </si>
  <si>
    <t>n</t>
  </si>
  <si>
    <t>denominatore</t>
  </si>
  <si>
    <t>ks</t>
  </si>
  <si>
    <t>H</t>
  </si>
  <si>
    <t>η</t>
  </si>
  <si>
    <t>x</t>
  </si>
  <si>
    <t>h</t>
  </si>
  <si>
    <t>T=3 sec</t>
  </si>
  <si>
    <t>sigma</t>
  </si>
  <si>
    <t>z</t>
  </si>
  <si>
    <t>Vz</t>
  </si>
  <si>
    <t>Ho</t>
  </si>
  <si>
    <t>Vx</t>
  </si>
  <si>
    <t>ACQUE PROFONDE</t>
  </si>
  <si>
    <t>ACQUE BASSE</t>
  </si>
  <si>
    <t>SI TROVA COSI PERCHE IN ACQUE PROFONDE LE PARTICELLE IN PROFONDITà NON RISENTONO DELL INFLUENZA E PARTO DIRETTAMENTE CN CURVA FORTE IN ALTO</t>
  </si>
  <si>
    <t>T=7 sec</t>
  </si>
  <si>
    <t>T=3sec</t>
  </si>
  <si>
    <t>gamma</t>
  </si>
  <si>
    <t>P*(1)</t>
  </si>
  <si>
    <t>P*(0)</t>
  </si>
  <si>
    <t>P*(-1)</t>
  </si>
  <si>
    <t>ESERCIZIO 1.6</t>
  </si>
  <si>
    <t>acque profonde</t>
  </si>
  <si>
    <t>ESERCIZIO 1.7</t>
  </si>
  <si>
    <t>z=</t>
  </si>
  <si>
    <t>acque basse</t>
  </si>
  <si>
    <t>A</t>
  </si>
  <si>
    <t>B</t>
  </si>
  <si>
    <t>T=10 sec</t>
  </si>
  <si>
    <t>velocita verticale nulla e giusto</t>
  </si>
  <si>
    <t>Z=</t>
  </si>
  <si>
    <t>d=10</t>
  </si>
  <si>
    <t>Kr</t>
  </si>
  <si>
    <t>H=Ho+Kr+Ks</t>
  </si>
  <si>
    <t>alfa(cn alfao=20 grad)</t>
  </si>
  <si>
    <t>alfa( alfao=45</t>
  </si>
  <si>
    <t>kr</t>
  </si>
  <si>
    <t>Ho=2</t>
  </si>
  <si>
    <t>Kr( alfao=45</t>
  </si>
  <si>
    <t>pendenza=</t>
  </si>
  <si>
    <t>x=d/(pendenza)</t>
  </si>
  <si>
    <t>L = g/(2π ) T2  tanh(dk)</t>
  </si>
  <si>
    <t>L verifica</t>
  </si>
  <si>
    <r>
      <t>L = g/(2π ) T</t>
    </r>
    <r>
      <rPr>
        <vertAlign val="superscript"/>
        <sz val="11"/>
        <color rgb="FF00B050"/>
        <rFont val="Calibri"/>
        <family val="2"/>
        <scheme val="minor"/>
      </rPr>
      <t>2</t>
    </r>
    <r>
      <rPr>
        <sz val="11"/>
        <color rgb="FF00B050"/>
        <rFont val="Calibri"/>
        <family val="2"/>
        <scheme val="minor"/>
      </rPr>
      <t xml:space="preserve">  tanh(dk)</t>
    </r>
  </si>
  <si>
    <r>
      <t>d=arctanh((L  2π )/( T</t>
    </r>
    <r>
      <rPr>
        <vertAlign val="superscript"/>
        <sz val="11"/>
        <color rgb="FF00B050"/>
        <rFont val="Calibri"/>
        <family val="2"/>
        <scheme val="minor"/>
      </rPr>
      <t>2</t>
    </r>
    <r>
      <rPr>
        <sz val="11"/>
        <color rgb="FF00B050"/>
        <rFont val="Calibri"/>
        <family val="2"/>
        <scheme val="minor"/>
      </rPr>
      <t xml:space="preserve">  g))/k</t>
    </r>
  </si>
  <si>
    <t>d=arctanh((L  2π )/( T2  g))/k</t>
  </si>
  <si>
    <t>d  verifica</t>
  </si>
  <si>
    <t>VERIFICA FORMULA HUNT</t>
  </si>
  <si>
    <t xml:space="preserve">T </t>
  </si>
  <si>
    <t>esercitazione 1.3</t>
  </si>
  <si>
    <t xml:space="preserve">Acque profonde </t>
  </si>
  <si>
    <t xml:space="preserve"> </t>
  </si>
  <si>
    <t>omega</t>
  </si>
  <si>
    <t>Ks (coeff shoaling)</t>
  </si>
  <si>
    <t>Calcolo parametri dell'onda in avvcinamento</t>
  </si>
  <si>
    <t>Alfa0</t>
  </si>
  <si>
    <t>C0</t>
  </si>
  <si>
    <t>sen alfa</t>
  </si>
  <si>
    <t>alfa</t>
  </si>
  <si>
    <t>cos alfa</t>
  </si>
  <si>
    <t>H (s)</t>
  </si>
  <si>
    <t>H (r,s)</t>
  </si>
  <si>
    <t>Offshore data</t>
  </si>
  <si>
    <t>To</t>
  </si>
  <si>
    <t>At depth h=4</t>
  </si>
  <si>
    <t>C</t>
  </si>
  <si>
    <t xml:space="preserve">Shallow </t>
  </si>
  <si>
    <t>Cg</t>
  </si>
  <si>
    <t>ON SHALLOW WATER</t>
  </si>
  <si>
    <t>Kshola</t>
  </si>
  <si>
    <t>Ks acquebasse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</si>
</sst>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vertAlign val="superscript"/>
      <sz val="11"/>
      <color rgb="FF00B050"/>
      <name val="Calibri"/>
      <family val="2"/>
      <scheme val="minor"/>
    </font>
    <font>
      <strike/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8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2" borderId="0" xfId="0" applyFont="1" applyFill="1"/>
    <xf numFmtId="0" fontId="6" fillId="2" borderId="0" xfId="0" applyFont="1" applyFill="1"/>
    <xf numFmtId="0" fontId="4" fillId="0" borderId="0" xfId="0" applyFont="1" applyFill="1"/>
    <xf numFmtId="0" fontId="0" fillId="3" borderId="0" xfId="0" applyFill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0" fillId="0" borderId="0" xfId="0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9" fillId="0" borderId="0" xfId="0" applyFont="1" applyAlignment="1">
      <alignment horizontal="justify" vertical="center"/>
    </xf>
    <xf numFmtId="0" fontId="0" fillId="3" borderId="9" xfId="0" applyFill="1" applyBorder="1"/>
    <xf numFmtId="0" fontId="0" fillId="0" borderId="9" xfId="0" applyBorder="1"/>
    <xf numFmtId="0" fontId="0" fillId="0" borderId="10" xfId="0" applyBorder="1"/>
    <xf numFmtId="0" fontId="8" fillId="0" borderId="11" xfId="0" applyFont="1" applyBorder="1"/>
    <xf numFmtId="0" fontId="8" fillId="0" borderId="10" xfId="0" applyFont="1" applyBorder="1"/>
    <xf numFmtId="0" fontId="1" fillId="0" borderId="11" xfId="0" applyFont="1" applyBorder="1"/>
    <xf numFmtId="0" fontId="1" fillId="4" borderId="0" xfId="0" applyFont="1" applyFill="1"/>
    <xf numFmtId="0" fontId="1" fillId="4" borderId="9" xfId="0" applyFont="1" applyFill="1" applyBorder="1"/>
    <xf numFmtId="0" fontId="0" fillId="5" borderId="0" xfId="0" applyFill="1"/>
    <xf numFmtId="0" fontId="0" fillId="5" borderId="10" xfId="0" applyFill="1" applyBorder="1"/>
    <xf numFmtId="0" fontId="10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061181102362206"/>
          <c:y val="3.2407407407407419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lunghezza d'onda</c:v>
          </c:tx>
          <c:marker>
            <c:symbol val="none"/>
          </c:marker>
          <c:xVal>
            <c:numRef>
              <c:f>shoaling!$A$14:$A$39</c:f>
              <c:numCache>
                <c:formatCode>General</c:formatCode>
                <c:ptCount val="26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4.5</c:v>
                </c:pt>
                <c:pt idx="16">
                  <c:v>4.2</c:v>
                </c:pt>
                <c:pt idx="17">
                  <c:v>4.0999999999999996</c:v>
                </c:pt>
                <c:pt idx="18">
                  <c:v>4</c:v>
                </c:pt>
                <c:pt idx="19">
                  <c:v>3.8</c:v>
                </c:pt>
                <c:pt idx="20">
                  <c:v>3.5</c:v>
                </c:pt>
                <c:pt idx="21">
                  <c:v>3.3</c:v>
                </c:pt>
                <c:pt idx="22">
                  <c:v>3.1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</c:numCache>
            </c:numRef>
          </c:xVal>
          <c:yVal>
            <c:numRef>
              <c:f>shoaling!$G$14:$G$39</c:f>
              <c:numCache>
                <c:formatCode>General</c:formatCode>
                <c:ptCount val="26"/>
                <c:pt idx="0">
                  <c:v>76.50265363311658</c:v>
                </c:pt>
                <c:pt idx="1">
                  <c:v>76.501181577852805</c:v>
                </c:pt>
                <c:pt idx="2">
                  <c:v>76.497886950629564</c:v>
                </c:pt>
                <c:pt idx="3">
                  <c:v>76.489869744110337</c:v>
                </c:pt>
                <c:pt idx="4">
                  <c:v>76.468320975859399</c:v>
                </c:pt>
                <c:pt idx="5">
                  <c:v>76.403243710513351</c:v>
                </c:pt>
                <c:pt idx="6">
                  <c:v>76.179701714473993</c:v>
                </c:pt>
                <c:pt idx="7">
                  <c:v>75.317875347862454</c:v>
                </c:pt>
                <c:pt idx="8">
                  <c:v>71.891830851720158</c:v>
                </c:pt>
                <c:pt idx="9">
                  <c:v>59.818763615149038</c:v>
                </c:pt>
                <c:pt idx="10">
                  <c:v>57.645050773845796</c:v>
                </c:pt>
                <c:pt idx="11">
                  <c:v>55.196358549358465</c:v>
                </c:pt>
                <c:pt idx="12">
                  <c:v>52.427118466040362</c:v>
                </c:pt>
                <c:pt idx="13">
                  <c:v>49.276211488209739</c:v>
                </c:pt>
                <c:pt idx="14">
                  <c:v>45.657438629618653</c:v>
                </c:pt>
                <c:pt idx="15">
                  <c:v>43.634573252276155</c:v>
                </c:pt>
                <c:pt idx="16">
                  <c:v>42.340568587270887</c:v>
                </c:pt>
                <c:pt idx="17">
                  <c:v>41.894590146348065</c:v>
                </c:pt>
                <c:pt idx="18">
                  <c:v>41.440887579069994</c:v>
                </c:pt>
                <c:pt idx="19">
                  <c:v>40.509239359347198</c:v>
                </c:pt>
                <c:pt idx="20">
                  <c:v>39.0466752756532</c:v>
                </c:pt>
                <c:pt idx="21">
                  <c:v>38.024258194477156</c:v>
                </c:pt>
                <c:pt idx="22">
                  <c:v>36.960220146461481</c:v>
                </c:pt>
                <c:pt idx="23">
                  <c:v>36.411440014951076</c:v>
                </c:pt>
                <c:pt idx="24">
                  <c:v>30.156055183692256</c:v>
                </c:pt>
                <c:pt idx="25">
                  <c:v>21.624439756040033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506048"/>
        <c:axId val="1376506592"/>
      </c:scatterChart>
      <c:valAx>
        <c:axId val="137650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6506592"/>
        <c:crosses val="autoZero"/>
        <c:crossBetween val="midCat"/>
      </c:valAx>
      <c:valAx>
        <c:axId val="1376506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6506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H</c:v>
          </c:tx>
          <c:marker>
            <c:symbol val="none"/>
          </c:marker>
          <c:xVal>
            <c:numRef>
              <c:f>shoaling!$B$440:$B$458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shoaling!$W$440:$W$458</c:f>
              <c:numCache>
                <c:formatCode>General</c:formatCode>
                <c:ptCount val="19"/>
                <c:pt idx="0">
                  <c:v>4.5175143749289903</c:v>
                </c:pt>
                <c:pt idx="1">
                  <c:v>4.5175122062075381</c:v>
                </c:pt>
                <c:pt idx="2">
                  <c:v>4.5174979462576497</c:v>
                </c:pt>
                <c:pt idx="3">
                  <c:v>4.5174259539703741</c:v>
                </c:pt>
                <c:pt idx="4">
                  <c:v>4.5170982625926914</c:v>
                </c:pt>
                <c:pt idx="5">
                  <c:v>4.5157150731031539</c:v>
                </c:pt>
                <c:pt idx="6">
                  <c:v>4.5104177448721137</c:v>
                </c:pt>
                <c:pt idx="7">
                  <c:v>4.4936171848063964</c:v>
                </c:pt>
                <c:pt idx="8">
                  <c:v>4.4595884763179097</c:v>
                </c:pt>
                <c:pt idx="9">
                  <c:v>4.453328574773713</c:v>
                </c:pt>
                <c:pt idx="10">
                  <c:v>4.4603071292625662</c:v>
                </c:pt>
                <c:pt idx="11">
                  <c:v>4.4702612844616345</c:v>
                </c:pt>
                <c:pt idx="12">
                  <c:v>4.4840874275021303</c:v>
                </c:pt>
                <c:pt idx="13">
                  <c:v>4.5031272825491833</c:v>
                </c:pt>
                <c:pt idx="14">
                  <c:v>4.5295295882985354</c:v>
                </c:pt>
                <c:pt idx="15">
                  <c:v>4.567054658019237</c:v>
                </c:pt>
                <c:pt idx="16">
                  <c:v>4.6231648219383352</c:v>
                </c:pt>
                <c:pt idx="17">
                  <c:v>4.7159411139877871</c:v>
                </c:pt>
                <c:pt idx="18">
                  <c:v>4.9101408646977802</c:v>
                </c:pt>
              </c:numCache>
            </c:numRef>
          </c:yVal>
          <c:smooth val="1"/>
        </c:ser>
        <c:ser>
          <c:idx val="1"/>
          <c:order val="1"/>
          <c:tx>
            <c:v>Ks</c:v>
          </c:tx>
          <c:marker>
            <c:symbol val="none"/>
          </c:marker>
          <c:xVal>
            <c:numRef>
              <c:f>shoaling!$B$440:$B$458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shoaling!$E$440:$E$458</c:f>
              <c:numCache>
                <c:formatCode>General</c:formatCode>
                <c:ptCount val="19"/>
                <c:pt idx="0">
                  <c:v>0.99999886627527756</c:v>
                </c:pt>
                <c:pt idx="1">
                  <c:v>0.99999476558935896</c:v>
                </c:pt>
                <c:pt idx="2">
                  <c:v>0.99997618184455117</c:v>
                </c:pt>
                <c:pt idx="3">
                  <c:v>0.99989366888742082</c:v>
                </c:pt>
                <c:pt idx="4">
                  <c:v>0.999537706443969</c:v>
                </c:pt>
                <c:pt idx="5">
                  <c:v>0.99806919628841206</c:v>
                </c:pt>
                <c:pt idx="6">
                  <c:v>0.99247945200471133</c:v>
                </c:pt>
                <c:pt idx="7">
                  <c:v>0.97456111182238758</c:v>
                </c:pt>
                <c:pt idx="8">
                  <c:v>0.93623763625264134</c:v>
                </c:pt>
                <c:pt idx="9">
                  <c:v>0.91666937610850685</c:v>
                </c:pt>
                <c:pt idx="10">
                  <c:v>0.92154292015750461</c:v>
                </c:pt>
                <c:pt idx="11">
                  <c:v>0.92922878185254887</c:v>
                </c:pt>
                <c:pt idx="12">
                  <c:v>0.94061949415524793</c:v>
                </c:pt>
                <c:pt idx="13">
                  <c:v>0.95705348857559014</c:v>
                </c:pt>
                <c:pt idx="14">
                  <c:v>0.98067676570486961</c:v>
                </c:pt>
                <c:pt idx="15">
                  <c:v>1.0152474492797847</c:v>
                </c:pt>
                <c:pt idx="16">
                  <c:v>1.0682262228004125</c:v>
                </c:pt>
                <c:pt idx="17">
                  <c:v>1.1576930087179753</c:v>
                </c:pt>
                <c:pt idx="18">
                  <c:v>1.348404549747984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300640"/>
        <c:axId val="1521302816"/>
      </c:scatterChart>
      <c:valAx>
        <c:axId val="152130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1302816"/>
        <c:crosses val="autoZero"/>
        <c:crossBetween val="midCat"/>
      </c:valAx>
      <c:valAx>
        <c:axId val="1521302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1300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H</c:v>
          </c:tx>
          <c:marker>
            <c:symbol val="none"/>
          </c:marker>
          <c:xVal>
            <c:numRef>
              <c:f>shoaling!$A$481:$A$499</c:f>
              <c:numCache>
                <c:formatCode>General</c:formatCode>
                <c:ptCount val="19"/>
                <c:pt idx="0">
                  <c:v>2000</c:v>
                </c:pt>
                <c:pt idx="1">
                  <c:v>1800</c:v>
                </c:pt>
                <c:pt idx="2">
                  <c:v>1600</c:v>
                </c:pt>
                <c:pt idx="3">
                  <c:v>1400</c:v>
                </c:pt>
                <c:pt idx="4">
                  <c:v>1200</c:v>
                </c:pt>
                <c:pt idx="5">
                  <c:v>1000</c:v>
                </c:pt>
                <c:pt idx="6">
                  <c:v>800</c:v>
                </c:pt>
                <c:pt idx="7">
                  <c:v>600</c:v>
                </c:pt>
                <c:pt idx="8">
                  <c:v>400</c:v>
                </c:pt>
                <c:pt idx="9">
                  <c:v>200</c:v>
                </c:pt>
                <c:pt idx="10">
                  <c:v>180</c:v>
                </c:pt>
                <c:pt idx="11">
                  <c:v>160</c:v>
                </c:pt>
                <c:pt idx="12">
                  <c:v>140</c:v>
                </c:pt>
                <c:pt idx="13">
                  <c:v>120</c:v>
                </c:pt>
                <c:pt idx="14">
                  <c:v>100</c:v>
                </c:pt>
                <c:pt idx="15">
                  <c:v>80</c:v>
                </c:pt>
                <c:pt idx="16">
                  <c:v>60</c:v>
                </c:pt>
                <c:pt idx="17">
                  <c:v>40</c:v>
                </c:pt>
                <c:pt idx="18">
                  <c:v>20</c:v>
                </c:pt>
              </c:numCache>
            </c:numRef>
          </c:xVal>
          <c:yVal>
            <c:numRef>
              <c:f>shoaling!$W$440:$W$458</c:f>
              <c:numCache>
                <c:formatCode>General</c:formatCode>
                <c:ptCount val="19"/>
                <c:pt idx="0">
                  <c:v>4.5175143749289903</c:v>
                </c:pt>
                <c:pt idx="1">
                  <c:v>4.5175122062075381</c:v>
                </c:pt>
                <c:pt idx="2">
                  <c:v>4.5174979462576497</c:v>
                </c:pt>
                <c:pt idx="3">
                  <c:v>4.5174259539703741</c:v>
                </c:pt>
                <c:pt idx="4">
                  <c:v>4.5170982625926914</c:v>
                </c:pt>
                <c:pt idx="5">
                  <c:v>4.5157150731031539</c:v>
                </c:pt>
                <c:pt idx="6">
                  <c:v>4.5104177448721137</c:v>
                </c:pt>
                <c:pt idx="7">
                  <c:v>4.4936171848063964</c:v>
                </c:pt>
                <c:pt idx="8">
                  <c:v>4.4595884763179097</c:v>
                </c:pt>
                <c:pt idx="9">
                  <c:v>4.453328574773713</c:v>
                </c:pt>
                <c:pt idx="10">
                  <c:v>4.4603071292625662</c:v>
                </c:pt>
                <c:pt idx="11">
                  <c:v>4.4702612844616345</c:v>
                </c:pt>
                <c:pt idx="12">
                  <c:v>4.4840874275021303</c:v>
                </c:pt>
                <c:pt idx="13">
                  <c:v>4.5031272825491833</c:v>
                </c:pt>
                <c:pt idx="14">
                  <c:v>4.5295295882985354</c:v>
                </c:pt>
                <c:pt idx="15">
                  <c:v>4.567054658019237</c:v>
                </c:pt>
                <c:pt idx="16">
                  <c:v>4.6231648219383352</c:v>
                </c:pt>
                <c:pt idx="17">
                  <c:v>4.7159411139877871</c:v>
                </c:pt>
                <c:pt idx="18">
                  <c:v>4.9101408646977802</c:v>
                </c:pt>
              </c:numCache>
            </c:numRef>
          </c:yVal>
          <c:smooth val="1"/>
        </c:ser>
        <c:ser>
          <c:idx val="1"/>
          <c:order val="1"/>
          <c:tx>
            <c:v>Ks</c:v>
          </c:tx>
          <c:marker>
            <c:symbol val="none"/>
          </c:marker>
          <c:xVal>
            <c:numRef>
              <c:f>shoaling!$A$481:$A$499</c:f>
              <c:numCache>
                <c:formatCode>General</c:formatCode>
                <c:ptCount val="19"/>
                <c:pt idx="0">
                  <c:v>2000</c:v>
                </c:pt>
                <c:pt idx="1">
                  <c:v>1800</c:v>
                </c:pt>
                <c:pt idx="2">
                  <c:v>1600</c:v>
                </c:pt>
                <c:pt idx="3">
                  <c:v>1400</c:v>
                </c:pt>
                <c:pt idx="4">
                  <c:v>1200</c:v>
                </c:pt>
                <c:pt idx="5">
                  <c:v>1000</c:v>
                </c:pt>
                <c:pt idx="6">
                  <c:v>800</c:v>
                </c:pt>
                <c:pt idx="7">
                  <c:v>600</c:v>
                </c:pt>
                <c:pt idx="8">
                  <c:v>400</c:v>
                </c:pt>
                <c:pt idx="9">
                  <c:v>200</c:v>
                </c:pt>
                <c:pt idx="10">
                  <c:v>180</c:v>
                </c:pt>
                <c:pt idx="11">
                  <c:v>160</c:v>
                </c:pt>
                <c:pt idx="12">
                  <c:v>140</c:v>
                </c:pt>
                <c:pt idx="13">
                  <c:v>120</c:v>
                </c:pt>
                <c:pt idx="14">
                  <c:v>100</c:v>
                </c:pt>
                <c:pt idx="15">
                  <c:v>80</c:v>
                </c:pt>
                <c:pt idx="16">
                  <c:v>60</c:v>
                </c:pt>
                <c:pt idx="17">
                  <c:v>40</c:v>
                </c:pt>
                <c:pt idx="18">
                  <c:v>20</c:v>
                </c:pt>
              </c:numCache>
            </c:numRef>
          </c:xVal>
          <c:yVal>
            <c:numRef>
              <c:f>shoaling!$E$440:$E$458</c:f>
              <c:numCache>
                <c:formatCode>General</c:formatCode>
                <c:ptCount val="19"/>
                <c:pt idx="0">
                  <c:v>0.99999886627527756</c:v>
                </c:pt>
                <c:pt idx="1">
                  <c:v>0.99999476558935896</c:v>
                </c:pt>
                <c:pt idx="2">
                  <c:v>0.99997618184455117</c:v>
                </c:pt>
                <c:pt idx="3">
                  <c:v>0.99989366888742082</c:v>
                </c:pt>
                <c:pt idx="4">
                  <c:v>0.999537706443969</c:v>
                </c:pt>
                <c:pt idx="5">
                  <c:v>0.99806919628841206</c:v>
                </c:pt>
                <c:pt idx="6">
                  <c:v>0.99247945200471133</c:v>
                </c:pt>
                <c:pt idx="7">
                  <c:v>0.97456111182238758</c:v>
                </c:pt>
                <c:pt idx="8">
                  <c:v>0.93623763625264134</c:v>
                </c:pt>
                <c:pt idx="9">
                  <c:v>0.91666937610850685</c:v>
                </c:pt>
                <c:pt idx="10">
                  <c:v>0.92154292015750461</c:v>
                </c:pt>
                <c:pt idx="11">
                  <c:v>0.92922878185254887</c:v>
                </c:pt>
                <c:pt idx="12">
                  <c:v>0.94061949415524793</c:v>
                </c:pt>
                <c:pt idx="13">
                  <c:v>0.95705348857559014</c:v>
                </c:pt>
                <c:pt idx="14">
                  <c:v>0.98067676570486961</c:v>
                </c:pt>
                <c:pt idx="15">
                  <c:v>1.0152474492797847</c:v>
                </c:pt>
                <c:pt idx="16">
                  <c:v>1.0682262228004125</c:v>
                </c:pt>
                <c:pt idx="17">
                  <c:v>1.1576930087179753</c:v>
                </c:pt>
                <c:pt idx="18">
                  <c:v>1.348404549747984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293568"/>
        <c:axId val="1521303904"/>
      </c:scatterChart>
      <c:valAx>
        <c:axId val="152129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1303904"/>
        <c:crosses val="autoZero"/>
        <c:crossBetween val="midCat"/>
      </c:valAx>
      <c:valAx>
        <c:axId val="1521303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12935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180607170469755"/>
          <c:y val="8.0309014016517577E-2"/>
          <c:w val="0.67097008528042568"/>
          <c:h val="0.70178048601321552"/>
        </c:manualLayout>
      </c:layout>
      <c:scatterChart>
        <c:scatterStyle val="smoothMarker"/>
        <c:varyColors val="0"/>
        <c:ser>
          <c:idx val="0"/>
          <c:order val="0"/>
          <c:tx>
            <c:v>celerità</c:v>
          </c:tx>
          <c:spPr>
            <a:ln>
              <a:solidFill>
                <a:srgbClr val="FFFF99"/>
              </a:solidFill>
            </a:ln>
          </c:spPr>
          <c:marker>
            <c:symbol val="none"/>
          </c:marker>
          <c:xVal>
            <c:numRef>
              <c:f>shoaling!$A$14:$A$39</c:f>
              <c:numCache>
                <c:formatCode>General</c:formatCode>
                <c:ptCount val="26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4.5</c:v>
                </c:pt>
                <c:pt idx="16">
                  <c:v>4.2</c:v>
                </c:pt>
                <c:pt idx="17">
                  <c:v>4.0999999999999996</c:v>
                </c:pt>
                <c:pt idx="18">
                  <c:v>4</c:v>
                </c:pt>
                <c:pt idx="19">
                  <c:v>3.8</c:v>
                </c:pt>
                <c:pt idx="20">
                  <c:v>3.5</c:v>
                </c:pt>
                <c:pt idx="21">
                  <c:v>3.3</c:v>
                </c:pt>
                <c:pt idx="22">
                  <c:v>3.1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</c:numCache>
            </c:numRef>
          </c:xVal>
          <c:yVal>
            <c:numRef>
              <c:f>shoaling!$H$14:$H$39</c:f>
              <c:numCache>
                <c:formatCode>General</c:formatCode>
                <c:ptCount val="26"/>
                <c:pt idx="0">
                  <c:v>10.928950519016654</c:v>
                </c:pt>
                <c:pt idx="1">
                  <c:v>10.928740225407543</c:v>
                </c:pt>
                <c:pt idx="2">
                  <c:v>10.928269564375652</c:v>
                </c:pt>
                <c:pt idx="3">
                  <c:v>10.92712424915862</c:v>
                </c:pt>
                <c:pt idx="4">
                  <c:v>10.924045853694199</c:v>
                </c:pt>
                <c:pt idx="5">
                  <c:v>10.914749101501908</c:v>
                </c:pt>
                <c:pt idx="6">
                  <c:v>10.882814530639141</c:v>
                </c:pt>
                <c:pt idx="7">
                  <c:v>10.759696478266065</c:v>
                </c:pt>
                <c:pt idx="8">
                  <c:v>10.270261550245737</c:v>
                </c:pt>
                <c:pt idx="9">
                  <c:v>8.5455376593070049</c:v>
                </c:pt>
                <c:pt idx="10">
                  <c:v>8.2350072534065415</c:v>
                </c:pt>
                <c:pt idx="11">
                  <c:v>7.8851940784797803</c:v>
                </c:pt>
                <c:pt idx="12">
                  <c:v>7.4895883522914799</c:v>
                </c:pt>
                <c:pt idx="13">
                  <c:v>7.0394587840299625</c:v>
                </c:pt>
                <c:pt idx="14">
                  <c:v>6.5224912328026647</c:v>
                </c:pt>
                <c:pt idx="15">
                  <c:v>6.2335104646108794</c:v>
                </c:pt>
                <c:pt idx="16">
                  <c:v>6.0486526553244122</c:v>
                </c:pt>
                <c:pt idx="17">
                  <c:v>5.9849414494782947</c:v>
                </c:pt>
                <c:pt idx="18">
                  <c:v>5.9201267970099991</c:v>
                </c:pt>
                <c:pt idx="19">
                  <c:v>5.787034194192457</c:v>
                </c:pt>
                <c:pt idx="20">
                  <c:v>5.5780964679504574</c:v>
                </c:pt>
                <c:pt idx="21">
                  <c:v>5.4320368849253082</c:v>
                </c:pt>
                <c:pt idx="22">
                  <c:v>5.2800314494944969</c:v>
                </c:pt>
                <c:pt idx="23">
                  <c:v>5.2016342878501538</c:v>
                </c:pt>
                <c:pt idx="24">
                  <c:v>4.308007883384608</c:v>
                </c:pt>
                <c:pt idx="25">
                  <c:v>3.0892056794342904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294656"/>
        <c:axId val="1521305536"/>
      </c:scatterChart>
      <c:valAx>
        <c:axId val="152129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1305536"/>
        <c:crosses val="autoZero"/>
        <c:crossBetween val="midCat"/>
      </c:valAx>
      <c:valAx>
        <c:axId val="1521305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12946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180607170469755"/>
          <c:y val="8.0309014016517577E-2"/>
          <c:w val="0.74678709278987188"/>
          <c:h val="0.70178048601321552"/>
        </c:manualLayout>
      </c:layout>
      <c:scatterChart>
        <c:scatterStyle val="smoothMarker"/>
        <c:varyColors val="0"/>
        <c:ser>
          <c:idx val="0"/>
          <c:order val="0"/>
          <c:tx>
            <c:v>Kshoaling</c:v>
          </c:tx>
          <c:marker>
            <c:symbol val="none"/>
          </c:marker>
          <c:xVal>
            <c:numRef>
              <c:f>shoaling!$A$14:$A$39</c:f>
              <c:numCache>
                <c:formatCode>General</c:formatCode>
                <c:ptCount val="26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4.5</c:v>
                </c:pt>
                <c:pt idx="16">
                  <c:v>4.2</c:v>
                </c:pt>
                <c:pt idx="17">
                  <c:v>4.0999999999999996</c:v>
                </c:pt>
                <c:pt idx="18">
                  <c:v>4</c:v>
                </c:pt>
                <c:pt idx="19">
                  <c:v>3.8</c:v>
                </c:pt>
                <c:pt idx="20">
                  <c:v>3.5</c:v>
                </c:pt>
                <c:pt idx="21">
                  <c:v>3.3</c:v>
                </c:pt>
                <c:pt idx="22">
                  <c:v>3.1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</c:numCache>
            </c:numRef>
          </c:xVal>
          <c:yVal>
            <c:numRef>
              <c:f>shoaling!$J$14:$J$39</c:f>
              <c:numCache>
                <c:formatCode>General</c:formatCode>
                <c:ptCount val="26"/>
                <c:pt idx="0">
                  <c:v>0.99999886627527756</c:v>
                </c:pt>
                <c:pt idx="1">
                  <c:v>0.99999476558935896</c:v>
                </c:pt>
                <c:pt idx="2">
                  <c:v>0.99997618184455117</c:v>
                </c:pt>
                <c:pt idx="3">
                  <c:v>0.99989366888742082</c:v>
                </c:pt>
                <c:pt idx="4">
                  <c:v>0.999537706443969</c:v>
                </c:pt>
                <c:pt idx="5">
                  <c:v>0.99806919628841206</c:v>
                </c:pt>
                <c:pt idx="6">
                  <c:v>0.99247945200471133</c:v>
                </c:pt>
                <c:pt idx="7">
                  <c:v>0.97456111182238758</c:v>
                </c:pt>
                <c:pt idx="8">
                  <c:v>0.93623763625264134</c:v>
                </c:pt>
                <c:pt idx="9">
                  <c:v>0.91666937610850685</c:v>
                </c:pt>
                <c:pt idx="10">
                  <c:v>0.92154292015750461</c:v>
                </c:pt>
                <c:pt idx="11">
                  <c:v>0.92922878185254887</c:v>
                </c:pt>
                <c:pt idx="12">
                  <c:v>0.94061949415524793</c:v>
                </c:pt>
                <c:pt idx="13">
                  <c:v>0.95705348857559014</c:v>
                </c:pt>
                <c:pt idx="14">
                  <c:v>0.98067676570486961</c:v>
                </c:pt>
                <c:pt idx="15">
                  <c:v>0.99625518075245045</c:v>
                </c:pt>
                <c:pt idx="16">
                  <c:v>1.0071826964721697</c:v>
                </c:pt>
                <c:pt idx="17">
                  <c:v>1.0111313899308281</c:v>
                </c:pt>
                <c:pt idx="18">
                  <c:v>1.0152474492797847</c:v>
                </c:pt>
                <c:pt idx="19">
                  <c:v>1.0240209965719138</c:v>
                </c:pt>
                <c:pt idx="20">
                  <c:v>1.038705976545542</c:v>
                </c:pt>
                <c:pt idx="21">
                  <c:v>1.0496712235526222</c:v>
                </c:pt>
                <c:pt idx="22">
                  <c:v>1.0617331450698193</c:v>
                </c:pt>
                <c:pt idx="23">
                  <c:v>1.0682262228004125</c:v>
                </c:pt>
                <c:pt idx="24">
                  <c:v>1.1576930087179753</c:v>
                </c:pt>
                <c:pt idx="25">
                  <c:v>1.348404549747984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886064"/>
        <c:axId val="1513887696"/>
      </c:scatterChart>
      <c:valAx>
        <c:axId val="151388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3887696"/>
        <c:crosses val="autoZero"/>
        <c:crossBetween val="midCat"/>
      </c:valAx>
      <c:valAx>
        <c:axId val="1513887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13886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Vz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vZ</c:v>
          </c:tx>
          <c:marker>
            <c:symbol val="none"/>
          </c:marker>
          <c:xVal>
            <c:numRef>
              <c:f>diagrammiprofondita!$H$7:$H$27</c:f>
              <c:numCache>
                <c:formatCode>General</c:formatCode>
                <c:ptCount val="21"/>
                <c:pt idx="0">
                  <c:v>1.5398039660266338</c:v>
                </c:pt>
                <c:pt idx="1">
                  <c:v>1.4357660587252938</c:v>
                </c:pt>
                <c:pt idx="2">
                  <c:v>1.336164465307442</c:v>
                </c:pt>
                <c:pt idx="3">
                  <c:v>1.240691430948391</c:v>
                </c:pt>
                <c:pt idx="4">
                  <c:v>1.1490519574865297</c:v>
                </c:pt>
                <c:pt idx="5">
                  <c:v>1.0609628919207654</c:v>
                </c:pt>
                <c:pt idx="6">
                  <c:v>0.9761520515078328</c:v>
                </c:pt>
                <c:pt idx="7">
                  <c:v>0.89435738275614207</c:v>
                </c:pt>
                <c:pt idx="8">
                  <c:v>0.81532615171758716</c:v>
                </c:pt>
                <c:pt idx="9">
                  <c:v>0.73881416307542047</c:v>
                </c:pt>
                <c:pt idx="10">
                  <c:v>0.66458500561529155</c:v>
                </c:pt>
                <c:pt idx="11">
                  <c:v>0.59240932174805949</c:v>
                </c:pt>
                <c:pt idx="12">
                  <c:v>0.52206409882730787</c:v>
                </c:pt>
                <c:pt idx="13">
                  <c:v>0.45333198007183684</c:v>
                </c:pt>
                <c:pt idx="14">
                  <c:v>0.38600059296397693</c:v>
                </c:pt>
                <c:pt idx="15">
                  <c:v>0.31986189304857043</c:v>
                </c:pt>
                <c:pt idx="16">
                  <c:v>0.25471152110505518</c:v>
                </c:pt>
                <c:pt idx="17">
                  <c:v>0.19034817170640092</c:v>
                </c:pt>
                <c:pt idx="18">
                  <c:v>0.12657297121383482</c:v>
                </c:pt>
                <c:pt idx="19">
                  <c:v>6.3188863285449329E-2</c:v>
                </c:pt>
                <c:pt idx="20">
                  <c:v>-2.8047050285628292E-16</c:v>
                </c:pt>
              </c:numCache>
            </c:numRef>
          </c:xVal>
          <c:yVal>
            <c:numRef>
              <c:f>diagrammiprofondita!$D$7:$D$27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497920"/>
        <c:axId val="1388500640"/>
      </c:scatterChart>
      <c:valAx>
        <c:axId val="138849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88500640"/>
        <c:crosses val="autoZero"/>
        <c:crossBetween val="midCat"/>
      </c:valAx>
      <c:valAx>
        <c:axId val="1388500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8497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Vx</c:v>
          </c:tx>
          <c:marker>
            <c:symbol val="none"/>
          </c:marker>
          <c:xVal>
            <c:numRef>
              <c:f>diagrammiprofondita!$J$7:$J$27</c:f>
              <c:numCache>
                <c:formatCode>General</c:formatCode>
                <c:ptCount val="21"/>
                <c:pt idx="0">
                  <c:v>1.9136971542427232</c:v>
                </c:pt>
                <c:pt idx="1">
                  <c:v>1.8310283230340569</c:v>
                </c:pt>
                <c:pt idx="2">
                  <c:v>1.7540171101547641</c:v>
                </c:pt>
                <c:pt idx="3">
                  <c:v>1.6824255618582693</c:v>
                </c:pt>
                <c:pt idx="4">
                  <c:v>1.6160324703943829</c:v>
                </c:pt>
                <c:pt idx="5">
                  <c:v>1.5546326905086683</c:v>
                </c:pt>
                <c:pt idx="6">
                  <c:v>1.4980365055726437</c:v>
                </c:pt>
                <c:pt idx="7">
                  <c:v>1.4460690413862551</c:v>
                </c:pt>
                <c:pt idx="8">
                  <c:v>1.3985697258413528</c:v>
                </c:pt>
                <c:pt idx="9">
                  <c:v>1.3553917927766055</c:v>
                </c:pt>
                <c:pt idx="10">
                  <c:v>1.316401828490839</c:v>
                </c:pt>
                <c:pt idx="11">
                  <c:v>1.2814793595135827</c:v>
                </c:pt>
                <c:pt idx="12">
                  <c:v>1.250516480359102</c:v>
                </c:pt>
                <c:pt idx="13">
                  <c:v>1.2234175201137176</c:v>
                </c:pt>
                <c:pt idx="14">
                  <c:v>1.2000987468262305</c:v>
                </c:pt>
                <c:pt idx="15">
                  <c:v>1.1804881087880394</c:v>
                </c:pt>
                <c:pt idx="16">
                  <c:v>1.1645250119035646</c:v>
                </c:pt>
                <c:pt idx="17">
                  <c:v>1.1521601324630686</c:v>
                </c:pt>
                <c:pt idx="18">
                  <c:v>1.1433552647393745</c:v>
                </c:pt>
                <c:pt idx="19">
                  <c:v>1.1380832029375769</c:v>
                </c:pt>
                <c:pt idx="20">
                  <c:v>1.1363276571329886</c:v>
                </c:pt>
              </c:numCache>
            </c:numRef>
          </c:xVal>
          <c:yVal>
            <c:numRef>
              <c:f>diagrammiprofondita!$D$7:$D$27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504992"/>
        <c:axId val="1388502272"/>
      </c:scatterChart>
      <c:valAx>
        <c:axId val="138850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88502272"/>
        <c:crosses val="autoZero"/>
        <c:crossBetween val="midCat"/>
      </c:valAx>
      <c:valAx>
        <c:axId val="1388502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8504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Vz</c:v>
          </c:tx>
          <c:marker>
            <c:symbol val="none"/>
          </c:marker>
          <c:xVal>
            <c:numRef>
              <c:f>diagrammiprofondita!$H$30:$H$47</c:f>
              <c:numCache>
                <c:formatCode>General</c:formatCode>
                <c:ptCount val="18"/>
                <c:pt idx="0">
                  <c:v>0.85595970191666448</c:v>
                </c:pt>
                <c:pt idx="1">
                  <c:v>0.54734453189271015</c:v>
                </c:pt>
                <c:pt idx="2">
                  <c:v>0.35000016463627565</c:v>
                </c:pt>
                <c:pt idx="3">
                  <c:v>0.22380805526971356</c:v>
                </c:pt>
                <c:pt idx="4">
                  <c:v>0.14311434869085191</c:v>
                </c:pt>
                <c:pt idx="5">
                  <c:v>9.1514654271598939E-2</c:v>
                </c:pt>
                <c:pt idx="6">
                  <c:v>5.851916333379939E-2</c:v>
                </c:pt>
                <c:pt idx="7">
                  <c:v>3.7420154231524408E-2</c:v>
                </c:pt>
                <c:pt idx="8">
                  <c:v>2.3928365734209329E-2</c:v>
                </c:pt>
                <c:pt idx="9">
                  <c:v>2.7351911785513712E-4</c:v>
                </c:pt>
                <c:pt idx="10">
                  <c:v>3.1265280990458728E-6</c:v>
                </c:pt>
                <c:pt idx="11">
                  <c:v>3.5738554696935741E-8</c:v>
                </c:pt>
                <c:pt idx="12">
                  <c:v>4.0851841127404106E-10</c:v>
                </c:pt>
                <c:pt idx="13">
                  <c:v>4.6696709971927219E-12</c:v>
                </c:pt>
                <c:pt idx="14">
                  <c:v>5.3377832235195093E-14</c:v>
                </c:pt>
                <c:pt idx="15">
                  <c:v>6.101485366337784E-16</c:v>
                </c:pt>
                <c:pt idx="16">
                  <c:v>6.9735429647033476E-18</c:v>
                </c:pt>
                <c:pt idx="17">
                  <c:v>0</c:v>
                </c:pt>
              </c:numCache>
            </c:numRef>
          </c:xVal>
          <c:yVal>
            <c:numRef>
              <c:f>diagrammiprofondita!$D$30:$D$47</c:f>
              <c:numCache>
                <c:formatCode>General</c:formatCode>
                <c:ptCount val="18"/>
                <c:pt idx="0">
                  <c:v>-2</c:v>
                </c:pt>
                <c:pt idx="1">
                  <c:v>-3</c:v>
                </c:pt>
                <c:pt idx="2">
                  <c:v>-4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-10</c:v>
                </c:pt>
                <c:pt idx="9">
                  <c:v>-20</c:v>
                </c:pt>
                <c:pt idx="10">
                  <c:v>-30</c:v>
                </c:pt>
                <c:pt idx="11">
                  <c:v>-40</c:v>
                </c:pt>
                <c:pt idx="12">
                  <c:v>-50</c:v>
                </c:pt>
                <c:pt idx="13">
                  <c:v>-60</c:v>
                </c:pt>
                <c:pt idx="14">
                  <c:v>-70</c:v>
                </c:pt>
                <c:pt idx="15">
                  <c:v>-80</c:v>
                </c:pt>
                <c:pt idx="16">
                  <c:v>-90</c:v>
                </c:pt>
                <c:pt idx="17">
                  <c:v>-100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502816"/>
        <c:axId val="1388495200"/>
      </c:scatterChart>
      <c:valAx>
        <c:axId val="138850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88495200"/>
        <c:crosses val="autoZero"/>
        <c:crossBetween val="midCat"/>
      </c:valAx>
      <c:valAx>
        <c:axId val="1388495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8502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Vx</c:v>
          </c:tx>
          <c:marker>
            <c:symbol val="none"/>
          </c:marker>
          <c:xVal>
            <c:numRef>
              <c:f>diagrammiprofondita!$J$30:$J$47</c:f>
              <c:numCache>
                <c:formatCode>General</c:formatCode>
                <c:ptCount val="18"/>
                <c:pt idx="0">
                  <c:v>0.85595970191666448</c:v>
                </c:pt>
                <c:pt idx="1">
                  <c:v>0.54734453189271015</c:v>
                </c:pt>
                <c:pt idx="2">
                  <c:v>0.35000016463627565</c:v>
                </c:pt>
                <c:pt idx="3">
                  <c:v>0.22380805526971356</c:v>
                </c:pt>
                <c:pt idx="4">
                  <c:v>0.14311434869085191</c:v>
                </c:pt>
                <c:pt idx="5">
                  <c:v>9.1514654271598939E-2</c:v>
                </c:pt>
                <c:pt idx="6">
                  <c:v>5.851916333379939E-2</c:v>
                </c:pt>
                <c:pt idx="7">
                  <c:v>3.7420154231524408E-2</c:v>
                </c:pt>
                <c:pt idx="8">
                  <c:v>2.3928365734209329E-2</c:v>
                </c:pt>
                <c:pt idx="9">
                  <c:v>2.7351911785513712E-4</c:v>
                </c:pt>
                <c:pt idx="10">
                  <c:v>3.1265280990458728E-6</c:v>
                </c:pt>
                <c:pt idx="11">
                  <c:v>3.5738554696935741E-8</c:v>
                </c:pt>
                <c:pt idx="12">
                  <c:v>4.0851841127404106E-10</c:v>
                </c:pt>
                <c:pt idx="13">
                  <c:v>4.6696709971927243E-12</c:v>
                </c:pt>
                <c:pt idx="14">
                  <c:v>5.3377832235433247E-14</c:v>
                </c:pt>
                <c:pt idx="15">
                  <c:v>6.1014855746737136E-16</c:v>
                </c:pt>
                <c:pt idx="16">
                  <c:v>6.9753655569743154E-18</c:v>
                </c:pt>
                <c:pt idx="17">
                  <c:v>1.5944645765910822E-19</c:v>
                </c:pt>
              </c:numCache>
            </c:numRef>
          </c:xVal>
          <c:yVal>
            <c:numRef>
              <c:f>diagrammiprofondita!$D$30:$D$47</c:f>
              <c:numCache>
                <c:formatCode>General</c:formatCode>
                <c:ptCount val="18"/>
                <c:pt idx="0">
                  <c:v>-2</c:v>
                </c:pt>
                <c:pt idx="1">
                  <c:v>-3</c:v>
                </c:pt>
                <c:pt idx="2">
                  <c:v>-4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-10</c:v>
                </c:pt>
                <c:pt idx="9">
                  <c:v>-20</c:v>
                </c:pt>
                <c:pt idx="10">
                  <c:v>-30</c:v>
                </c:pt>
                <c:pt idx="11">
                  <c:v>-40</c:v>
                </c:pt>
                <c:pt idx="12">
                  <c:v>-50</c:v>
                </c:pt>
                <c:pt idx="13">
                  <c:v>-60</c:v>
                </c:pt>
                <c:pt idx="14">
                  <c:v>-70</c:v>
                </c:pt>
                <c:pt idx="15">
                  <c:v>-80</c:v>
                </c:pt>
                <c:pt idx="16">
                  <c:v>-90</c:v>
                </c:pt>
                <c:pt idx="17">
                  <c:v>-100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503360"/>
        <c:axId val="1388506080"/>
      </c:scatterChart>
      <c:valAx>
        <c:axId val="138850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88506080"/>
        <c:crosses val="autoZero"/>
        <c:crossBetween val="midCat"/>
      </c:valAx>
      <c:valAx>
        <c:axId val="1388506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8503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Vz</c:v>
          </c:tx>
          <c:marker>
            <c:symbol val="none"/>
          </c:marker>
          <c:xVal>
            <c:numRef>
              <c:f>diagrammiprofondita!$H$52:$H$72</c:f>
              <c:numCache>
                <c:formatCode>General</c:formatCode>
                <c:ptCount val="21"/>
                <c:pt idx="0">
                  <c:v>0.16908567147669543</c:v>
                </c:pt>
                <c:pt idx="1">
                  <c:v>0.16056109466776852</c:v>
                </c:pt>
                <c:pt idx="2">
                  <c:v>0.15204734838358677</c:v>
                </c:pt>
                <c:pt idx="3">
                  <c:v>0.14354385833596389</c:v>
                </c:pt>
                <c:pt idx="4">
                  <c:v>0.13505005092854053</c:v>
                </c:pt>
                <c:pt idx="5">
                  <c:v>0.12656535321809217</c:v>
                </c:pt>
                <c:pt idx="6">
                  <c:v>0.11808919287588188</c:v>
                </c:pt>
                <c:pt idx="7">
                  <c:v>0.10962099814905436</c:v>
                </c:pt>
                <c:pt idx="8">
                  <c:v>0.1011601978220688</c:v>
                </c:pt>
                <c:pt idx="9">
                  <c:v>9.2706221178167736E-2</c:v>
                </c:pt>
                <c:pt idx="10">
                  <c:v>8.4258497960880155E-2</c:v>
                </c:pt>
                <c:pt idx="11">
                  <c:v>7.5816458335555115E-2</c:v>
                </c:pt>
                <c:pt idx="12">
                  <c:v>6.7379532850923837E-2</c:v>
                </c:pt>
                <c:pt idx="13">
                  <c:v>5.894715240068811E-2</c:v>
                </c:pt>
                <c:pt idx="14">
                  <c:v>5.0518748185131412E-2</c:v>
                </c:pt>
                <c:pt idx="15">
                  <c:v>4.2093751672751124E-2</c:v>
                </c:pt>
                <c:pt idx="16">
                  <c:v>3.3671594561908588E-2</c:v>
                </c:pt>
                <c:pt idx="17">
                  <c:v>2.5251708742494779E-2</c:v>
                </c:pt>
                <c:pt idx="18">
                  <c:v>1.6833526257608901E-2</c:v>
                </c:pt>
                <c:pt idx="19">
                  <c:v>8.4164792652472609E-3</c:v>
                </c:pt>
                <c:pt idx="20">
                  <c:v>-3.7376256069423926E-17</c:v>
                </c:pt>
              </c:numCache>
            </c:numRef>
          </c:xVal>
          <c:yVal>
            <c:numRef>
              <c:f>diagrammiprofondita!$D$52:$D$72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491392"/>
        <c:axId val="1388503904"/>
      </c:scatterChart>
      <c:valAx>
        <c:axId val="138849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88503904"/>
        <c:crosses val="autoZero"/>
        <c:crossBetween val="midCat"/>
      </c:valAx>
      <c:valAx>
        <c:axId val="1388503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84913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Vx</c:v>
          </c:tx>
          <c:marker>
            <c:symbol val="none"/>
          </c:marker>
          <c:xVal>
            <c:numRef>
              <c:f>diagrammiprofondita!$J$52:$J$72</c:f>
              <c:numCache>
                <c:formatCode>General</c:formatCode>
                <c:ptCount val="21"/>
                <c:pt idx="0">
                  <c:v>1.0386160135355549</c:v>
                </c:pt>
                <c:pt idx="1">
                  <c:v>1.037262321881343</c:v>
                </c:pt>
                <c:pt idx="2">
                  <c:v>1.035978597956658</c:v>
                </c:pt>
                <c:pt idx="3">
                  <c:v>1.0347647551688925</c:v>
                </c:pt>
                <c:pt idx="4">
                  <c:v>1.0336207116392184</c:v>
                </c:pt>
                <c:pt idx="5">
                  <c:v>1.0325463901970622</c:v>
                </c:pt>
                <c:pt idx="6">
                  <c:v>1.0315417183748994</c:v>
                </c:pt>
                <c:pt idx="7">
                  <c:v>1.0306066284033681</c:v>
                </c:pt>
                <c:pt idx="8">
                  <c:v>1.0297410572066956</c:v>
                </c:pt>
                <c:pt idx="9">
                  <c:v>1.0289449463984448</c:v>
                </c:pt>
                <c:pt idx="10">
                  <c:v>1.0282182422775752</c:v>
                </c:pt>
                <c:pt idx="11">
                  <c:v>1.0275608958248219</c:v>
                </c:pt>
                <c:pt idx="12">
                  <c:v>1.0269728626993861</c:v>
                </c:pt>
                <c:pt idx="13">
                  <c:v>1.0264541032359475</c:v>
                </c:pt>
                <c:pt idx="14">
                  <c:v>1.026004582441987</c:v>
                </c:pt>
                <c:pt idx="15">
                  <c:v>1.0256242699954259</c:v>
                </c:pt>
                <c:pt idx="16">
                  <c:v>1.0253131402425821</c:v>
                </c:pt>
                <c:pt idx="17">
                  <c:v>1.0250711721964378</c:v>
                </c:pt>
                <c:pt idx="18">
                  <c:v>1.0248983495352253</c:v>
                </c:pt>
                <c:pt idx="19">
                  <c:v>1.0247946606013252</c:v>
                </c:pt>
                <c:pt idx="20">
                  <c:v>1.0247600984004808</c:v>
                </c:pt>
              </c:numCache>
            </c:numRef>
          </c:xVal>
          <c:yVal>
            <c:numRef>
              <c:f>diagrammiprofondita!$D$52:$D$72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496832"/>
        <c:axId val="1388497376"/>
      </c:scatterChart>
      <c:valAx>
        <c:axId val="138849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88497376"/>
        <c:crosses val="autoZero"/>
        <c:crossBetween val="midCat"/>
      </c:valAx>
      <c:valAx>
        <c:axId val="1388497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84968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690302939774804"/>
          <c:y val="0.21795166229221347"/>
          <c:w val="0.71758587087183212"/>
          <c:h val="0.68921660834062404"/>
        </c:manualLayout>
      </c:layout>
      <c:scatterChart>
        <c:scatterStyle val="smoothMarker"/>
        <c:varyColors val="0"/>
        <c:ser>
          <c:idx val="0"/>
          <c:order val="0"/>
          <c:tx>
            <c:v>lunghezza d'onda</c:v>
          </c:tx>
          <c:marker>
            <c:symbol val="none"/>
          </c:marker>
          <c:xVal>
            <c:numRef>
              <c:f>shoaling!$A$90:$A$108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shoaling!$G$90:$G$108</c:f>
              <c:numCache>
                <c:formatCode>General</c:formatCode>
                <c:ptCount val="19"/>
                <c:pt idx="0">
                  <c:v>155.90089557902928</c:v>
                </c:pt>
                <c:pt idx="1">
                  <c:v>155.72748689408513</c:v>
                </c:pt>
                <c:pt idx="2">
                  <c:v>155.39963087533943</c:v>
                </c:pt>
                <c:pt idx="3">
                  <c:v>154.76316774804735</c:v>
                </c:pt>
                <c:pt idx="4">
                  <c:v>153.50596953740757</c:v>
                </c:pt>
                <c:pt idx="5">
                  <c:v>151.0189636386917</c:v>
                </c:pt>
                <c:pt idx="6">
                  <c:v>146.19910576182204</c:v>
                </c:pt>
                <c:pt idx="7">
                  <c:v>137.23306920548504</c:v>
                </c:pt>
                <c:pt idx="8">
                  <c:v>121.23307190221742</c:v>
                </c:pt>
                <c:pt idx="9">
                  <c:v>92.378295579975401</c:v>
                </c:pt>
                <c:pt idx="10">
                  <c:v>88.271568876278536</c:v>
                </c:pt>
                <c:pt idx="11">
                  <c:v>83.820791037972342</c:v>
                </c:pt>
                <c:pt idx="12">
                  <c:v>78.966022258364234</c:v>
                </c:pt>
                <c:pt idx="13">
                  <c:v>73.625535671903705</c:v>
                </c:pt>
                <c:pt idx="14">
                  <c:v>67.682501430996822</c:v>
                </c:pt>
                <c:pt idx="15">
                  <c:v>60.958850403523336</c:v>
                </c:pt>
                <c:pt idx="16">
                  <c:v>53.156879216492058</c:v>
                </c:pt>
                <c:pt idx="17">
                  <c:v>43.700110449274511</c:v>
                </c:pt>
                <c:pt idx="18">
                  <c:v>31.110913964807711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508768"/>
        <c:axId val="1113083792"/>
      </c:scatterChart>
      <c:valAx>
        <c:axId val="137650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3083792"/>
        <c:crosses val="autoZero"/>
        <c:crossBetween val="midCat"/>
      </c:valAx>
      <c:valAx>
        <c:axId val="1113083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6508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Vz</c:v>
          </c:tx>
          <c:marker>
            <c:symbol val="none"/>
          </c:marker>
          <c:xVal>
            <c:numRef>
              <c:f>diagrammiprofondita!$H$76:$H$93</c:f>
              <c:numCache>
                <c:formatCode>General</c:formatCode>
                <c:ptCount val="18"/>
                <c:pt idx="0">
                  <c:v>0.59140659300997411</c:v>
                </c:pt>
                <c:pt idx="1">
                  <c:v>0.4801737790365318</c:v>
                </c:pt>
                <c:pt idx="2">
                  <c:v>0.38986183245058353</c:v>
                </c:pt>
                <c:pt idx="3">
                  <c:v>0.31653591894729988</c:v>
                </c:pt>
                <c:pt idx="4">
                  <c:v>0.25700127492349911</c:v>
                </c:pt>
                <c:pt idx="5">
                  <c:v>0.20866401365116677</c:v>
                </c:pt>
                <c:pt idx="6">
                  <c:v>0.16941811127580961</c:v>
                </c:pt>
                <c:pt idx="7">
                  <c:v>0.13755364869117245</c:v>
                </c:pt>
                <c:pt idx="8">
                  <c:v>0.11168231144692334</c:v>
                </c:pt>
                <c:pt idx="9">
                  <c:v>1.3902957138677152E-2</c:v>
                </c:pt>
                <c:pt idx="10">
                  <c:v>1.7307325994207739E-3</c:v>
                </c:pt>
                <c:pt idx="11">
                  <c:v>2.1545310834084809E-4</c:v>
                </c:pt>
                <c:pt idx="12">
                  <c:v>2.6821036287786784E-5</c:v>
                </c:pt>
                <c:pt idx="13">
                  <c:v>3.3388608448369589E-6</c:v>
                </c:pt>
                <c:pt idx="14">
                  <c:v>4.1564208811570654E-7</c:v>
                </c:pt>
                <c:pt idx="15">
                  <c:v>5.1729658807952909E-8</c:v>
                </c:pt>
                <c:pt idx="16">
                  <c:v>6.3413801759123748E-9</c:v>
                </c:pt>
                <c:pt idx="17">
                  <c:v>0</c:v>
                </c:pt>
              </c:numCache>
            </c:numRef>
          </c:xVal>
          <c:yVal>
            <c:numRef>
              <c:f>diagrammiprofondita!$D$76:$D$93</c:f>
              <c:numCache>
                <c:formatCode>General</c:formatCode>
                <c:ptCount val="18"/>
                <c:pt idx="0">
                  <c:v>-2</c:v>
                </c:pt>
                <c:pt idx="1">
                  <c:v>-3</c:v>
                </c:pt>
                <c:pt idx="2">
                  <c:v>-4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-10</c:v>
                </c:pt>
                <c:pt idx="9">
                  <c:v>-20</c:v>
                </c:pt>
                <c:pt idx="10">
                  <c:v>-30</c:v>
                </c:pt>
                <c:pt idx="11">
                  <c:v>-40</c:v>
                </c:pt>
                <c:pt idx="12">
                  <c:v>-50</c:v>
                </c:pt>
                <c:pt idx="13">
                  <c:v>-60</c:v>
                </c:pt>
                <c:pt idx="14">
                  <c:v>-70</c:v>
                </c:pt>
                <c:pt idx="15">
                  <c:v>-80</c:v>
                </c:pt>
                <c:pt idx="16">
                  <c:v>-90</c:v>
                </c:pt>
                <c:pt idx="17">
                  <c:v>-100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504448"/>
        <c:axId val="1388505536"/>
      </c:scatterChart>
      <c:valAx>
        <c:axId val="138850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88505536"/>
        <c:crosses val="autoZero"/>
        <c:crossBetween val="midCat"/>
      </c:valAx>
      <c:valAx>
        <c:axId val="1388505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85044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Vx</c:v>
          </c:tx>
          <c:marker>
            <c:symbol val="none"/>
          </c:marker>
          <c:xVal>
            <c:numRef>
              <c:f>diagrammiprofondita!$J$76:$J$93</c:f>
              <c:numCache>
                <c:formatCode>General</c:formatCode>
                <c:ptCount val="18"/>
                <c:pt idx="0">
                  <c:v>0.59140659300997411</c:v>
                </c:pt>
                <c:pt idx="1">
                  <c:v>0.4801737790365318</c:v>
                </c:pt>
                <c:pt idx="2">
                  <c:v>0.38986183245058353</c:v>
                </c:pt>
                <c:pt idx="3">
                  <c:v>0.31653591894729988</c:v>
                </c:pt>
                <c:pt idx="4">
                  <c:v>0.25700127492349911</c:v>
                </c:pt>
                <c:pt idx="5">
                  <c:v>0.20866401365116677</c:v>
                </c:pt>
                <c:pt idx="6">
                  <c:v>0.16941811127580961</c:v>
                </c:pt>
                <c:pt idx="7">
                  <c:v>0.13755364869117245</c:v>
                </c:pt>
                <c:pt idx="8">
                  <c:v>0.11168231144692334</c:v>
                </c:pt>
                <c:pt idx="9">
                  <c:v>1.3902957138677242E-2</c:v>
                </c:pt>
                <c:pt idx="10">
                  <c:v>1.7307325994215168E-3</c:v>
                </c:pt>
                <c:pt idx="11">
                  <c:v>2.1545310834681649E-4</c:v>
                </c:pt>
                <c:pt idx="12">
                  <c:v>2.6821036335730692E-5</c:v>
                </c:pt>
                <c:pt idx="13">
                  <c:v>3.3388612299698957E-6</c:v>
                </c:pt>
                <c:pt idx="14">
                  <c:v>4.1564518188461361E-7</c:v>
                </c:pt>
                <c:pt idx="15">
                  <c:v>5.1754511021707571E-8</c:v>
                </c:pt>
                <c:pt idx="16">
                  <c:v>6.5410177529406547E-9</c:v>
                </c:pt>
                <c:pt idx="17">
                  <c:v>1.6036865993174416E-9</c:v>
                </c:pt>
              </c:numCache>
            </c:numRef>
          </c:xVal>
          <c:yVal>
            <c:numRef>
              <c:f>diagrammiprofondita!$D$76:$D$93</c:f>
              <c:numCache>
                <c:formatCode>General</c:formatCode>
                <c:ptCount val="18"/>
                <c:pt idx="0">
                  <c:v>-2</c:v>
                </c:pt>
                <c:pt idx="1">
                  <c:v>-3</c:v>
                </c:pt>
                <c:pt idx="2">
                  <c:v>-4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-10</c:v>
                </c:pt>
                <c:pt idx="9">
                  <c:v>-20</c:v>
                </c:pt>
                <c:pt idx="10">
                  <c:v>-30</c:v>
                </c:pt>
                <c:pt idx="11">
                  <c:v>-40</c:v>
                </c:pt>
                <c:pt idx="12">
                  <c:v>-50</c:v>
                </c:pt>
                <c:pt idx="13">
                  <c:v>-60</c:v>
                </c:pt>
                <c:pt idx="14">
                  <c:v>-70</c:v>
                </c:pt>
                <c:pt idx="15">
                  <c:v>-80</c:v>
                </c:pt>
                <c:pt idx="16">
                  <c:v>-90</c:v>
                </c:pt>
                <c:pt idx="17">
                  <c:v>-100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492480"/>
        <c:axId val="1513896944"/>
      </c:scatterChart>
      <c:valAx>
        <c:axId val="138849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3896944"/>
        <c:crosses val="autoZero"/>
        <c:crossBetween val="midCat"/>
      </c:valAx>
      <c:valAx>
        <c:axId val="1513896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84924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113298337707769E-2"/>
          <c:y val="3.434168065057442E-2"/>
          <c:w val="0.69185892388451453"/>
          <c:h val="0.914923220804296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diagrammiprofondita!$H$101:$H$131</c:f>
              <c:numCache>
                <c:formatCode>General</c:formatCode>
                <c:ptCount val="31"/>
                <c:pt idx="0">
                  <c:v>1.141485060844226</c:v>
                </c:pt>
                <c:pt idx="1">
                  <c:v>1.1330225283459596</c:v>
                </c:pt>
                <c:pt idx="2">
                  <c:v>1.1307825954871165</c:v>
                </c:pt>
                <c:pt idx="3">
                  <c:v>1.1344555404300536</c:v>
                </c:pt>
                <c:pt idx="4">
                  <c:v>1.1437498927682992</c:v>
                </c:pt>
                <c:pt idx="5">
                  <c:v>1.1583915338373967</c:v>
                </c:pt>
                <c:pt idx="6">
                  <c:v>1.178122850585809</c:v>
                </c:pt>
                <c:pt idx="7">
                  <c:v>1.2027019403941213</c:v>
                </c:pt>
                <c:pt idx="8">
                  <c:v>1.2319018643880395</c:v>
                </c:pt>
                <c:pt idx="9">
                  <c:v>1.2655099469403572</c:v>
                </c:pt>
                <c:pt idx="10">
                  <c:v>1.3033271191996634</c:v>
                </c:pt>
                <c:pt idx="11">
                  <c:v>1.3451673046194188</c:v>
                </c:pt>
                <c:pt idx="12">
                  <c:v>1.3908568445907246</c:v>
                </c:pt>
                <c:pt idx="13">
                  <c:v>1.4402339624058496</c:v>
                </c:pt>
                <c:pt idx="14">
                  <c:v>1.4931482638979292</c:v>
                </c:pt>
                <c:pt idx="15">
                  <c:v>1.5494602732154412</c:v>
                </c:pt>
                <c:pt idx="16">
                  <c:v>1.6090410022985291</c:v>
                </c:pt>
                <c:pt idx="17">
                  <c:v>1.6717715527282566</c:v>
                </c:pt>
                <c:pt idx="18">
                  <c:v>1.7375427487198167</c:v>
                </c:pt>
                <c:pt idx="19">
                  <c:v>1.806254800126843</c:v>
                </c:pt>
                <c:pt idx="20">
                  <c:v>1.8778169944166136</c:v>
                </c:pt>
                <c:pt idx="21">
                  <c:v>1.9521474166653552</c:v>
                </c:pt>
                <c:pt idx="22">
                  <c:v>2.0291726967093506</c:v>
                </c:pt>
                <c:pt idx="23">
                  <c:v>2.1088277826713795</c:v>
                </c:pt>
                <c:pt idx="24">
                  <c:v>2.1910557401634252</c:v>
                </c:pt>
                <c:pt idx="25">
                  <c:v>2.2758075765458412</c:v>
                </c:pt>
                <c:pt idx="26">
                  <c:v>2.3630420897005164</c:v>
                </c:pt>
                <c:pt idx="27">
                  <c:v>2.4527257408512462</c:v>
                </c:pt>
                <c:pt idx="28">
                  <c:v>2.5448325510387306</c:v>
                </c:pt>
                <c:pt idx="29">
                  <c:v>2.6393440209306585</c:v>
                </c:pt>
                <c:pt idx="30">
                  <c:v>2.7362490737193426</c:v>
                </c:pt>
              </c:numCache>
            </c:numRef>
          </c:xVal>
          <c:yVal>
            <c:numRef>
              <c:f>diagrammiprofondita!$D$101:$D$131</c:f>
              <c:numCache>
                <c:formatCode>General</c:formatCode>
                <c:ptCount val="31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  <c:pt idx="6">
                  <c:v>0.4</c:v>
                </c:pt>
                <c:pt idx="7">
                  <c:v>0.3</c:v>
                </c:pt>
                <c:pt idx="8">
                  <c:v>0.2</c:v>
                </c:pt>
                <c:pt idx="9">
                  <c:v>0.1</c:v>
                </c:pt>
                <c:pt idx="10">
                  <c:v>0</c:v>
                </c:pt>
                <c:pt idx="11">
                  <c:v>-0.1</c:v>
                </c:pt>
                <c:pt idx="12">
                  <c:v>-0.2</c:v>
                </c:pt>
                <c:pt idx="13">
                  <c:v>-0.30000000000000004</c:v>
                </c:pt>
                <c:pt idx="14">
                  <c:v>-0.4</c:v>
                </c:pt>
                <c:pt idx="15">
                  <c:v>-0.5</c:v>
                </c:pt>
                <c:pt idx="16">
                  <c:v>-0.6</c:v>
                </c:pt>
                <c:pt idx="17">
                  <c:v>-0.7</c:v>
                </c:pt>
                <c:pt idx="18">
                  <c:v>-0.79999999999999993</c:v>
                </c:pt>
                <c:pt idx="19">
                  <c:v>-0.89999999999999991</c:v>
                </c:pt>
                <c:pt idx="20">
                  <c:v>-0.99999999999999989</c:v>
                </c:pt>
                <c:pt idx="21">
                  <c:v>-1.0999999999999999</c:v>
                </c:pt>
                <c:pt idx="22">
                  <c:v>-1.2</c:v>
                </c:pt>
                <c:pt idx="23">
                  <c:v>-1.3</c:v>
                </c:pt>
                <c:pt idx="24">
                  <c:v>-1.4000000000000001</c:v>
                </c:pt>
                <c:pt idx="25">
                  <c:v>-1.5000000000000002</c:v>
                </c:pt>
                <c:pt idx="26">
                  <c:v>-1.6000000000000003</c:v>
                </c:pt>
                <c:pt idx="27">
                  <c:v>-1.7000000000000004</c:v>
                </c:pt>
                <c:pt idx="28">
                  <c:v>-1.8000000000000005</c:v>
                </c:pt>
                <c:pt idx="29">
                  <c:v>-1.9000000000000006</c:v>
                </c:pt>
                <c:pt idx="30">
                  <c:v>-2.0000000000000004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diagrammiprofondita!$I$111:$I$131</c:f>
              <c:numCache>
                <c:formatCode>General</c:formatCode>
                <c:ptCount val="21"/>
                <c:pt idx="0">
                  <c:v>0</c:v>
                </c:pt>
                <c:pt idx="1">
                  <c:v>9.8100000000000007E-2</c:v>
                </c:pt>
                <c:pt idx="2">
                  <c:v>0.19620000000000001</c:v>
                </c:pt>
                <c:pt idx="3">
                  <c:v>0.29430000000000006</c:v>
                </c:pt>
                <c:pt idx="4">
                  <c:v>0.39240000000000003</c:v>
                </c:pt>
                <c:pt idx="5">
                  <c:v>0.49049999999999999</c:v>
                </c:pt>
                <c:pt idx="6">
                  <c:v>0.58860000000000001</c:v>
                </c:pt>
                <c:pt idx="7">
                  <c:v>0.68669999999999998</c:v>
                </c:pt>
                <c:pt idx="8">
                  <c:v>0.78479999999999994</c:v>
                </c:pt>
                <c:pt idx="9">
                  <c:v>0.88289999999999991</c:v>
                </c:pt>
                <c:pt idx="10">
                  <c:v>0.98099999999999987</c:v>
                </c:pt>
                <c:pt idx="11">
                  <c:v>1.0790999999999999</c:v>
                </c:pt>
                <c:pt idx="12">
                  <c:v>1.1772</c:v>
                </c:pt>
                <c:pt idx="13">
                  <c:v>1.2753000000000001</c:v>
                </c:pt>
                <c:pt idx="14">
                  <c:v>1.3734000000000002</c:v>
                </c:pt>
                <c:pt idx="15">
                  <c:v>1.4715000000000003</c:v>
                </c:pt>
                <c:pt idx="16">
                  <c:v>1.5696000000000003</c:v>
                </c:pt>
                <c:pt idx="17">
                  <c:v>1.6677000000000004</c:v>
                </c:pt>
                <c:pt idx="18">
                  <c:v>1.7658000000000005</c:v>
                </c:pt>
                <c:pt idx="19">
                  <c:v>1.8639000000000006</c:v>
                </c:pt>
                <c:pt idx="20">
                  <c:v>1.9620000000000004</c:v>
                </c:pt>
              </c:numCache>
            </c:numRef>
          </c:xVal>
          <c:yVal>
            <c:numRef>
              <c:f>diagrammiprofondita!$D$111:$D$131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diagrammiprofondita!$J$121:$J$131</c:f>
              <c:numCache>
                <c:formatCode>General</c:formatCode>
                <c:ptCount val="11"/>
                <c:pt idx="0">
                  <c:v>8.4183005583386095E-2</c:v>
                </c:pt>
                <c:pt idx="1">
                  <c:v>0.20605258333464482</c:v>
                </c:pt>
                <c:pt idx="2">
                  <c:v>0.32522730329064953</c:v>
                </c:pt>
                <c:pt idx="3">
                  <c:v>0.4417722173286206</c:v>
                </c:pt>
                <c:pt idx="4">
                  <c:v>0.55574425983657494</c:v>
                </c:pt>
                <c:pt idx="5">
                  <c:v>0.66719242345415941</c:v>
                </c:pt>
                <c:pt idx="6">
                  <c:v>0.776157910299484</c:v>
                </c:pt>
                <c:pt idx="7">
                  <c:v>0.88267425914875464</c:v>
                </c:pt>
                <c:pt idx="8">
                  <c:v>0.98676744896127033</c:v>
                </c:pt>
                <c:pt idx="9">
                  <c:v>1.0884559790693429</c:v>
                </c:pt>
                <c:pt idx="10">
                  <c:v>1.187750926280658</c:v>
                </c:pt>
              </c:numCache>
            </c:numRef>
          </c:xVal>
          <c:yVal>
            <c:numRef>
              <c:f>diagrammiprofondita!$D$121:$D$131</c:f>
              <c:numCache>
                <c:formatCode>General</c:formatCode>
                <c:ptCount val="11"/>
                <c:pt idx="0">
                  <c:v>-0.99999999999999989</c:v>
                </c:pt>
                <c:pt idx="1">
                  <c:v>-1.0999999999999999</c:v>
                </c:pt>
                <c:pt idx="2">
                  <c:v>-1.2</c:v>
                </c:pt>
                <c:pt idx="3">
                  <c:v>-1.3</c:v>
                </c:pt>
                <c:pt idx="4">
                  <c:v>-1.4000000000000001</c:v>
                </c:pt>
                <c:pt idx="5">
                  <c:v>-1.5000000000000002</c:v>
                </c:pt>
                <c:pt idx="6">
                  <c:v>-1.6000000000000003</c:v>
                </c:pt>
                <c:pt idx="7">
                  <c:v>-1.7000000000000004</c:v>
                </c:pt>
                <c:pt idx="8">
                  <c:v>-1.8000000000000005</c:v>
                </c:pt>
                <c:pt idx="9">
                  <c:v>-1.9000000000000006</c:v>
                </c:pt>
                <c:pt idx="1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892048"/>
        <c:axId val="1513881712"/>
      </c:scatterChart>
      <c:valAx>
        <c:axId val="151389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3881712"/>
        <c:crosses val="autoZero"/>
        <c:crossBetween val="midCat"/>
      </c:valAx>
      <c:valAx>
        <c:axId val="1513881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13892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8.5309470544369867E-2"/>
          <c:y val="0.20406277340332457"/>
          <c:w val="0.57407834087853116"/>
          <c:h val="0.75379593175853021"/>
        </c:manualLayout>
      </c:layout>
      <c:scatterChart>
        <c:scatterStyle val="smoothMarker"/>
        <c:varyColors val="0"/>
        <c:ser>
          <c:idx val="0"/>
          <c:order val="0"/>
          <c:tx>
            <c:v>altezza istantanea</c:v>
          </c:tx>
          <c:marker>
            <c:symbol val="none"/>
          </c:marker>
          <c:xVal>
            <c:numRef>
              <c:f>Foglio3!$D$10:$D$28</c:f>
              <c:numCache>
                <c:formatCode>General</c:formatCode>
                <c:ptCount val="19"/>
              </c:numCache>
            </c:numRef>
          </c:xVal>
          <c:yVal>
            <c:numRef>
              <c:f>Foglio3!$E$10:$E$28</c:f>
              <c:numCache>
                <c:formatCode>General</c:formatCode>
                <c:ptCount val="19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882800"/>
        <c:axId val="1513892592"/>
      </c:scatterChart>
      <c:valAx>
        <c:axId val="151388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3892592"/>
        <c:crosses val="autoZero"/>
        <c:crossBetween val="midCat"/>
      </c:valAx>
      <c:valAx>
        <c:axId val="1513892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138828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altezza istantanea </c:v>
          </c:tx>
          <c:marker>
            <c:symbol val="none"/>
          </c:marker>
          <c:xVal>
            <c:numRef>
              <c:f>Foglio3!$C$35:$C$53</c:f>
              <c:numCache>
                <c:formatCode>General</c:formatCode>
                <c:ptCount val="19"/>
              </c:numCache>
            </c:numRef>
          </c:xVal>
          <c:yVal>
            <c:numRef>
              <c:f>Foglio3!$D$35:$D$53</c:f>
              <c:numCache>
                <c:formatCode>General</c:formatCode>
                <c:ptCount val="19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893136"/>
        <c:axId val="1513893680"/>
      </c:scatterChart>
      <c:valAx>
        <c:axId val="151389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3893680"/>
        <c:crosses val="autoZero"/>
        <c:crossBetween val="midCat"/>
      </c:valAx>
      <c:valAx>
        <c:axId val="1513893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13893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altezza istantanea</c:v>
          </c:tx>
          <c:marker>
            <c:symbol val="none"/>
          </c:marker>
          <c:xVal>
            <c:numRef>
              <c:f>Foglio3!$C$61:$C$79</c:f>
              <c:numCache>
                <c:formatCode>General</c:formatCode>
                <c:ptCount val="19"/>
              </c:numCache>
            </c:numRef>
          </c:xVal>
          <c:yVal>
            <c:numRef>
              <c:f>Foglio3!$D$61:$D$79</c:f>
              <c:numCache>
                <c:formatCode>General</c:formatCode>
                <c:ptCount val="19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890960"/>
        <c:axId val="1513884432"/>
      </c:scatterChart>
      <c:valAx>
        <c:axId val="151389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3884432"/>
        <c:crosses val="autoZero"/>
        <c:crossBetween val="midCat"/>
      </c:valAx>
      <c:valAx>
        <c:axId val="1513884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138909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lunghezza d'onda</c:v>
          </c:tx>
          <c:marker>
            <c:symbol val="none"/>
          </c:marker>
          <c:xVal>
            <c:numRef>
              <c:f>shoaling!$A$55:$A$73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shoaling!$G$55:$G$73</c:f>
              <c:numCache>
                <c:formatCode>General</c:formatCode>
                <c:ptCount val="19"/>
                <c:pt idx="0">
                  <c:v>56.207008575567315</c:v>
                </c:pt>
                <c:pt idx="1">
                  <c:v>56.206857383964447</c:v>
                </c:pt>
                <c:pt idx="2">
                  <c:v>56.206508256352642</c:v>
                </c:pt>
                <c:pt idx="3">
                  <c:v>56.205621578245299</c:v>
                </c:pt>
                <c:pt idx="4">
                  <c:v>56.203087587324809</c:v>
                </c:pt>
                <c:pt idx="5">
                  <c:v>56.194685291406635</c:v>
                </c:pt>
                <c:pt idx="6">
                  <c:v>56.161060484643954</c:v>
                </c:pt>
                <c:pt idx="7">
                  <c:v>55.991995743007692</c:v>
                </c:pt>
                <c:pt idx="8">
                  <c:v>54.937495765793997</c:v>
                </c:pt>
                <c:pt idx="9">
                  <c:v>48.39065347930601</c:v>
                </c:pt>
                <c:pt idx="10">
                  <c:v>46.929505414772152</c:v>
                </c:pt>
                <c:pt idx="11">
                  <c:v>45.219573804647688</c:v>
                </c:pt>
                <c:pt idx="12">
                  <c:v>43.217718701065365</c:v>
                </c:pt>
                <c:pt idx="13">
                  <c:v>40.867601952939658</c:v>
                </c:pt>
                <c:pt idx="14">
                  <c:v>38.091371676445995</c:v>
                </c:pt>
                <c:pt idx="15">
                  <c:v>34.773447000032874</c:v>
                </c:pt>
                <c:pt idx="16">
                  <c:v>30.724542639886497</c:v>
                </c:pt>
                <c:pt idx="17">
                  <c:v>25.584233726352068</c:v>
                </c:pt>
                <c:pt idx="18">
                  <c:v>18.442161949640614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085424"/>
        <c:axId val="1283482000"/>
      </c:scatterChart>
      <c:valAx>
        <c:axId val="111308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3482000"/>
        <c:crosses val="autoZero"/>
        <c:crossBetween val="midCat"/>
      </c:valAx>
      <c:valAx>
        <c:axId val="1283482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3085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celerità</c:v>
          </c:tx>
          <c:marker>
            <c:symbol val="none"/>
          </c:marker>
          <c:xVal>
            <c:numRef>
              <c:f>shoaling!$A$55:$A$73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shoaling!$H$55:$H$73</c:f>
              <c:numCache>
                <c:formatCode>General</c:formatCode>
                <c:ptCount val="19"/>
                <c:pt idx="0">
                  <c:v>9.3678347625945531</c:v>
                </c:pt>
                <c:pt idx="1">
                  <c:v>9.3678095639940739</c:v>
                </c:pt>
                <c:pt idx="2">
                  <c:v>9.3677513760587736</c:v>
                </c:pt>
                <c:pt idx="3">
                  <c:v>9.3676035963742166</c:v>
                </c:pt>
                <c:pt idx="4">
                  <c:v>9.3671812645541355</c:v>
                </c:pt>
                <c:pt idx="5">
                  <c:v>9.3657808819011059</c:v>
                </c:pt>
                <c:pt idx="6">
                  <c:v>9.3601767474406596</c:v>
                </c:pt>
                <c:pt idx="7">
                  <c:v>9.3319992905012814</c:v>
                </c:pt>
                <c:pt idx="8">
                  <c:v>9.1562492942990001</c:v>
                </c:pt>
                <c:pt idx="9">
                  <c:v>8.065108913217669</c:v>
                </c:pt>
                <c:pt idx="10">
                  <c:v>7.8215842357953589</c:v>
                </c:pt>
                <c:pt idx="11">
                  <c:v>7.5365956341079476</c:v>
                </c:pt>
                <c:pt idx="12">
                  <c:v>7.2029531168442276</c:v>
                </c:pt>
                <c:pt idx="13">
                  <c:v>6.81126699215661</c:v>
                </c:pt>
                <c:pt idx="14">
                  <c:v>6.3485619460743328</c:v>
                </c:pt>
                <c:pt idx="15">
                  <c:v>5.795574500005479</c:v>
                </c:pt>
                <c:pt idx="16">
                  <c:v>5.1207571066477495</c:v>
                </c:pt>
                <c:pt idx="17">
                  <c:v>4.264038954392011</c:v>
                </c:pt>
                <c:pt idx="18">
                  <c:v>3.0736936582734358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916848"/>
        <c:axId val="1112918480"/>
      </c:scatterChart>
      <c:valAx>
        <c:axId val="111291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2918480"/>
        <c:crosses val="autoZero"/>
        <c:crossBetween val="midCat"/>
      </c:valAx>
      <c:valAx>
        <c:axId val="1112918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9168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celerità</c:v>
          </c:tx>
          <c:marker>
            <c:symbol val="none"/>
          </c:marker>
          <c:xVal>
            <c:numRef>
              <c:f>shoaling!$A$90:$A$108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shoaling!$H$90:$H$108</c:f>
              <c:numCache>
                <c:formatCode>General</c:formatCode>
                <c:ptCount val="19"/>
                <c:pt idx="0">
                  <c:v>15.590089557902928</c:v>
                </c:pt>
                <c:pt idx="1">
                  <c:v>15.572748689408513</c:v>
                </c:pt>
                <c:pt idx="2">
                  <c:v>15.539963087533943</c:v>
                </c:pt>
                <c:pt idx="3">
                  <c:v>15.476316774804735</c:v>
                </c:pt>
                <c:pt idx="4">
                  <c:v>15.350596953740757</c:v>
                </c:pt>
                <c:pt idx="5">
                  <c:v>15.101896363869169</c:v>
                </c:pt>
                <c:pt idx="6">
                  <c:v>14.619910576182203</c:v>
                </c:pt>
                <c:pt idx="7">
                  <c:v>13.723306920548504</c:v>
                </c:pt>
                <c:pt idx="8">
                  <c:v>12.123307190221741</c:v>
                </c:pt>
                <c:pt idx="9">
                  <c:v>9.2378295579975394</c:v>
                </c:pt>
                <c:pt idx="10">
                  <c:v>8.8271568876278543</c:v>
                </c:pt>
                <c:pt idx="11">
                  <c:v>8.3820791037972349</c:v>
                </c:pt>
                <c:pt idx="12">
                  <c:v>7.896602225836423</c:v>
                </c:pt>
                <c:pt idx="13">
                  <c:v>7.3625535671903704</c:v>
                </c:pt>
                <c:pt idx="14">
                  <c:v>6.7682501430996824</c:v>
                </c:pt>
                <c:pt idx="15">
                  <c:v>6.0958850403523339</c:v>
                </c:pt>
                <c:pt idx="16">
                  <c:v>5.3156879216492054</c:v>
                </c:pt>
                <c:pt idx="17">
                  <c:v>4.370011044927451</c:v>
                </c:pt>
                <c:pt idx="18">
                  <c:v>3.1110913964807709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182528"/>
        <c:axId val="1114173280"/>
      </c:scatterChart>
      <c:valAx>
        <c:axId val="111418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4173280"/>
        <c:crosses val="autoZero"/>
        <c:crossBetween val="midCat"/>
      </c:valAx>
      <c:valAx>
        <c:axId val="1114173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41825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ks</c:v>
          </c:tx>
          <c:marker>
            <c:symbol val="none"/>
          </c:marker>
          <c:xVal>
            <c:numRef>
              <c:f>shoaling!$A$117:$A$135</c:f>
              <c:numCache>
                <c:formatCode>General</c:formatCode>
                <c:ptCount val="19"/>
              </c:numCache>
            </c:numRef>
          </c:xVal>
          <c:yVal>
            <c:numRef>
              <c:f>shoaling!$E$117:$E$135</c:f>
              <c:numCache>
                <c:formatCode>General</c:formatCode>
                <c:ptCount val="19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293024"/>
        <c:axId val="1521306080"/>
      </c:scatterChart>
      <c:valAx>
        <c:axId val="152129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1306080"/>
        <c:crosses val="autoZero"/>
        <c:crossBetween val="midCat"/>
      </c:valAx>
      <c:valAx>
        <c:axId val="1521306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12930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ks</c:v>
          </c:tx>
          <c:marker>
            <c:symbol val="none"/>
          </c:marker>
          <c:xVal>
            <c:numRef>
              <c:f>shoaling!$U$117:$U$135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shoaling!$Y$117:$Y$135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296288"/>
        <c:axId val="1521296832"/>
      </c:scatterChart>
      <c:valAx>
        <c:axId val="152129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1296832"/>
        <c:crosses val="autoZero"/>
        <c:crossBetween val="midCat"/>
      </c:valAx>
      <c:valAx>
        <c:axId val="1521296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1296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ks</c:v>
          </c:tx>
          <c:marker>
            <c:symbol val="none"/>
          </c:marker>
          <c:xVal>
            <c:numRef>
              <c:f>shoaling!$AB$117:$AB$135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shoaling!$AF$117:$AF$135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299552"/>
        <c:axId val="1521294112"/>
      </c:scatterChart>
      <c:valAx>
        <c:axId val="152129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1294112"/>
        <c:crosses val="autoZero"/>
        <c:crossBetween val="midCat"/>
      </c:valAx>
      <c:valAx>
        <c:axId val="1521294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12995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H</c:v>
          </c:tx>
          <c:marker>
            <c:symbol val="none"/>
          </c:marker>
          <c:xVal>
            <c:numRef>
              <c:f>shoaling!$B$440:$B$458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shoaling!$W$440:$W$458</c:f>
              <c:numCache>
                <c:formatCode>General</c:formatCode>
                <c:ptCount val="19"/>
                <c:pt idx="0">
                  <c:v>4.5175143749289903</c:v>
                </c:pt>
                <c:pt idx="1">
                  <c:v>4.5175122062075381</c:v>
                </c:pt>
                <c:pt idx="2">
                  <c:v>4.5174979462576497</c:v>
                </c:pt>
                <c:pt idx="3">
                  <c:v>4.5174259539703741</c:v>
                </c:pt>
                <c:pt idx="4">
                  <c:v>4.5170982625926914</c:v>
                </c:pt>
                <c:pt idx="5">
                  <c:v>4.5157150731031539</c:v>
                </c:pt>
                <c:pt idx="6">
                  <c:v>4.5104177448721137</c:v>
                </c:pt>
                <c:pt idx="7">
                  <c:v>4.4936171848063964</c:v>
                </c:pt>
                <c:pt idx="8">
                  <c:v>4.4595884763179097</c:v>
                </c:pt>
                <c:pt idx="9">
                  <c:v>4.453328574773713</c:v>
                </c:pt>
                <c:pt idx="10">
                  <c:v>4.4603071292625662</c:v>
                </c:pt>
                <c:pt idx="11">
                  <c:v>4.4702612844616345</c:v>
                </c:pt>
                <c:pt idx="12">
                  <c:v>4.4840874275021303</c:v>
                </c:pt>
                <c:pt idx="13">
                  <c:v>4.5031272825491833</c:v>
                </c:pt>
                <c:pt idx="14">
                  <c:v>4.5295295882985354</c:v>
                </c:pt>
                <c:pt idx="15">
                  <c:v>4.567054658019237</c:v>
                </c:pt>
                <c:pt idx="16">
                  <c:v>4.6231648219383352</c:v>
                </c:pt>
                <c:pt idx="17">
                  <c:v>4.7159411139877871</c:v>
                </c:pt>
                <c:pt idx="18">
                  <c:v>4.9101408646977802</c:v>
                </c:pt>
              </c:numCache>
            </c:numRef>
          </c:yVal>
          <c:smooth val="1"/>
        </c:ser>
        <c:ser>
          <c:idx val="1"/>
          <c:order val="1"/>
          <c:tx>
            <c:v>Ks</c:v>
          </c:tx>
          <c:marker>
            <c:symbol val="none"/>
          </c:marker>
          <c:xVal>
            <c:numRef>
              <c:f>shoaling!$B$440:$B$458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shoaling!$E$440:$E$458</c:f>
              <c:numCache>
                <c:formatCode>General</c:formatCode>
                <c:ptCount val="19"/>
                <c:pt idx="0">
                  <c:v>0.99999886627527756</c:v>
                </c:pt>
                <c:pt idx="1">
                  <c:v>0.99999476558935896</c:v>
                </c:pt>
                <c:pt idx="2">
                  <c:v>0.99997618184455117</c:v>
                </c:pt>
                <c:pt idx="3">
                  <c:v>0.99989366888742082</c:v>
                </c:pt>
                <c:pt idx="4">
                  <c:v>0.999537706443969</c:v>
                </c:pt>
                <c:pt idx="5">
                  <c:v>0.99806919628841206</c:v>
                </c:pt>
                <c:pt idx="6">
                  <c:v>0.99247945200471133</c:v>
                </c:pt>
                <c:pt idx="7">
                  <c:v>0.97456111182238758</c:v>
                </c:pt>
                <c:pt idx="8">
                  <c:v>0.93623763625264134</c:v>
                </c:pt>
                <c:pt idx="9">
                  <c:v>0.91666937610850685</c:v>
                </c:pt>
                <c:pt idx="10">
                  <c:v>0.92154292015750461</c:v>
                </c:pt>
                <c:pt idx="11">
                  <c:v>0.92922878185254887</c:v>
                </c:pt>
                <c:pt idx="12">
                  <c:v>0.94061949415524793</c:v>
                </c:pt>
                <c:pt idx="13">
                  <c:v>0.95705348857559014</c:v>
                </c:pt>
                <c:pt idx="14">
                  <c:v>0.98067676570486961</c:v>
                </c:pt>
                <c:pt idx="15">
                  <c:v>1.0152474492797847</c:v>
                </c:pt>
                <c:pt idx="16">
                  <c:v>1.0682262228004125</c:v>
                </c:pt>
                <c:pt idx="17">
                  <c:v>1.1576930087179753</c:v>
                </c:pt>
                <c:pt idx="18">
                  <c:v>1.348404549747984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302272"/>
        <c:axId val="1521300096"/>
      </c:scatterChart>
      <c:valAx>
        <c:axId val="152130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1300096"/>
        <c:crosses val="autoZero"/>
        <c:crossBetween val="midCat"/>
      </c:valAx>
      <c:valAx>
        <c:axId val="1521300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1302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2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image" Target="../media/image3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222250</xdr:colOff>
      <xdr:row>1</xdr:row>
      <xdr:rowOff>6350</xdr:rowOff>
    </xdr:from>
    <xdr:to>
      <xdr:col>8</xdr:col>
      <xdr:colOff>95250</xdr:colOff>
      <xdr:row>3</xdr:row>
      <xdr:rowOff>6350</xdr:rowOff>
    </xdr:to>
    <xdr:sp macro="" textlink="">
      <xdr:nvSpPr>
        <xdr:cNvPr id="2" name="CasellaDiTesto 1"/>
        <xdr:cNvSpPr txBox="1"/>
      </xdr:nvSpPr>
      <xdr:spPr>
        <a:xfrm>
          <a:off x="3492500" y="190500"/>
          <a:ext cx="1701800" cy="368300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Check Shallow Water Hypotehsi</a:t>
          </a:r>
          <a:r>
            <a:rPr lang="en-GB" sz="1100" baseline="0"/>
            <a:t> Hypothesis</a:t>
          </a:r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142875</xdr:colOff>
      <xdr:row>11</xdr:row>
      <xdr:rowOff>47625</xdr:rowOff>
    </xdr:from>
    <xdr:to>
      <xdr:col>29</xdr:col>
      <xdr:colOff>447675</xdr:colOff>
      <xdr:row>26</xdr:row>
      <xdr:rowOff>123825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190500</xdr:colOff>
      <xdr:row>93</xdr:row>
      <xdr:rowOff>47625</xdr:rowOff>
    </xdr:from>
    <xdr:to>
      <xdr:col>30</xdr:col>
      <xdr:colOff>495300</xdr:colOff>
      <xdr:row>107</xdr:row>
      <xdr:rowOff>123825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114300</xdr:colOff>
      <xdr:row>55</xdr:row>
      <xdr:rowOff>85725</xdr:rowOff>
    </xdr:from>
    <xdr:to>
      <xdr:col>30</xdr:col>
      <xdr:colOff>419100</xdr:colOff>
      <xdr:row>69</xdr:row>
      <xdr:rowOff>161925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485775</xdr:colOff>
      <xdr:row>53</xdr:row>
      <xdr:rowOff>171450</xdr:rowOff>
    </xdr:from>
    <xdr:to>
      <xdr:col>37</xdr:col>
      <xdr:colOff>180975</xdr:colOff>
      <xdr:row>68</xdr:row>
      <xdr:rowOff>57150</xdr:rowOff>
    </xdr:to>
    <xdr:graphicFrame macro="">
      <xdr:nvGraphicFramePr>
        <xdr:cNvPr id="9" name="Gra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590550</xdr:colOff>
      <xdr:row>88</xdr:row>
      <xdr:rowOff>180975</xdr:rowOff>
    </xdr:from>
    <xdr:to>
      <xdr:col>37</xdr:col>
      <xdr:colOff>285750</xdr:colOff>
      <xdr:row>103</xdr:row>
      <xdr:rowOff>66675</xdr:rowOff>
    </xdr:to>
    <xdr:graphicFrame macro="">
      <xdr:nvGraphicFramePr>
        <xdr:cNvPr id="10" name="Gra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152400</xdr:colOff>
      <xdr:row>138</xdr:row>
      <xdr:rowOff>47625</xdr:rowOff>
    </xdr:from>
    <xdr:to>
      <xdr:col>6</xdr:col>
      <xdr:colOff>590550</xdr:colOff>
      <xdr:row>152</xdr:row>
      <xdr:rowOff>123825</xdr:rowOff>
    </xdr:to>
    <xdr:graphicFrame macro="">
      <xdr:nvGraphicFramePr>
        <xdr:cNvPr id="11" name="Gra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590550</xdr:colOff>
      <xdr:row>138</xdr:row>
      <xdr:rowOff>76200</xdr:rowOff>
    </xdr:from>
    <xdr:to>
      <xdr:col>26</xdr:col>
      <xdr:colOff>581025</xdr:colOff>
      <xdr:row>152</xdr:row>
      <xdr:rowOff>152400</xdr:rowOff>
    </xdr:to>
    <xdr:graphicFrame macro="">
      <xdr:nvGraphicFramePr>
        <xdr:cNvPr id="12" name="Gra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57150</xdr:colOff>
      <xdr:row>138</xdr:row>
      <xdr:rowOff>66675</xdr:rowOff>
    </xdr:from>
    <xdr:to>
      <xdr:col>35</xdr:col>
      <xdr:colOff>361950</xdr:colOff>
      <xdr:row>152</xdr:row>
      <xdr:rowOff>142875</xdr:rowOff>
    </xdr:to>
    <xdr:graphicFrame macro="">
      <xdr:nvGraphicFramePr>
        <xdr:cNvPr id="13" name="Gra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1114425</xdr:colOff>
      <xdr:row>458</xdr:row>
      <xdr:rowOff>142875</xdr:rowOff>
    </xdr:from>
    <xdr:to>
      <xdr:col>23</xdr:col>
      <xdr:colOff>542925</xdr:colOff>
      <xdr:row>473</xdr:row>
      <xdr:rowOff>28575</xdr:rowOff>
    </xdr:to>
    <xdr:graphicFrame macro="">
      <xdr:nvGraphicFramePr>
        <xdr:cNvPr id="25" name="Gra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390525</xdr:colOff>
      <xdr:row>440</xdr:row>
      <xdr:rowOff>47625</xdr:rowOff>
    </xdr:from>
    <xdr:to>
      <xdr:col>35</xdr:col>
      <xdr:colOff>85725</xdr:colOff>
      <xdr:row>454</xdr:row>
      <xdr:rowOff>123825</xdr:rowOff>
    </xdr:to>
    <xdr:graphicFrame macro="">
      <xdr:nvGraphicFramePr>
        <xdr:cNvPr id="27" name="Grafico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1047750</xdr:colOff>
      <xdr:row>499</xdr:row>
      <xdr:rowOff>180975</xdr:rowOff>
    </xdr:from>
    <xdr:to>
      <xdr:col>23</xdr:col>
      <xdr:colOff>476250</xdr:colOff>
      <xdr:row>514</xdr:row>
      <xdr:rowOff>66675</xdr:rowOff>
    </xdr:to>
    <xdr:graphicFrame macro="">
      <xdr:nvGraphicFramePr>
        <xdr:cNvPr id="28" name="Grafico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657225</xdr:colOff>
      <xdr:row>0</xdr:row>
      <xdr:rowOff>9525</xdr:rowOff>
    </xdr:from>
    <xdr:to>
      <xdr:col>29</xdr:col>
      <xdr:colOff>238125</xdr:colOff>
      <xdr:row>15</xdr:row>
      <xdr:rowOff>142875</xdr:rowOff>
    </xdr:to>
    <xdr:pic>
      <xdr:nvPicPr>
        <xdr:cNvPr id="30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9525" y="9525"/>
          <a:ext cx="5695950" cy="2857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76200</xdr:colOff>
      <xdr:row>9</xdr:row>
      <xdr:rowOff>9525</xdr:rowOff>
    </xdr:from>
    <xdr:ext cx="1959254" cy="264560"/>
    <xdr:sp macro="" textlink="">
      <xdr:nvSpPr>
        <xdr:cNvPr id="2" name="CasellaDiTesto 1"/>
        <xdr:cNvSpPr txBox="1"/>
      </xdr:nvSpPr>
      <xdr:spPr>
        <a:xfrm>
          <a:off x="8067675" y="1724025"/>
          <a:ext cx="1959254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Inserire (formula</a:t>
          </a:r>
          <a:r>
            <a:rPr lang="it-IT" sz="1100" baseline="0">
              <a:solidFill>
                <a:schemeClr val="tx1"/>
              </a:solidFill>
            </a:rPr>
            <a:t> sugli appunti)</a:t>
          </a:r>
          <a:endParaRPr lang="it-IT" sz="1100">
            <a:solidFill>
              <a:schemeClr val="tx1"/>
            </a:solidFill>
          </a:endParaRPr>
        </a:p>
      </xdr:txBody>
    </xdr:sp>
    <xdr:clientData/>
  </xdr:oneCellAnchor>
  <xdr:twoCellAnchor>
    <xdr:from>
      <xdr:col>8</xdr:col>
      <xdr:colOff>533400</xdr:colOff>
      <xdr:row>9</xdr:row>
      <xdr:rowOff>104775</xdr:rowOff>
    </xdr:from>
    <xdr:to>
      <xdr:col>8</xdr:col>
      <xdr:colOff>838200</xdr:colOff>
      <xdr:row>13</xdr:row>
      <xdr:rowOff>133350</xdr:rowOff>
    </xdr:to>
    <xdr:cxnSp macro="">
      <xdr:nvCxnSpPr>
        <xdr:cNvPr id="6" name="Connettore 2 5"/>
        <xdr:cNvCxnSpPr/>
      </xdr:nvCxnSpPr>
      <xdr:spPr>
        <a:xfrm flipH="1">
          <a:off x="8524875" y="1819275"/>
          <a:ext cx="304800" cy="8191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0</xdr:colOff>
      <xdr:row>7</xdr:row>
      <xdr:rowOff>0</xdr:rowOff>
    </xdr:from>
    <xdr:ext cx="1448858" cy="609013"/>
    <xdr:sp macro="" textlink="">
      <xdr:nvSpPr>
        <xdr:cNvPr id="17" name="CasellaDiTesto 16"/>
        <xdr:cNvSpPr txBox="1"/>
      </xdr:nvSpPr>
      <xdr:spPr>
        <a:xfrm>
          <a:off x="2560320" y="1333500"/>
          <a:ext cx="1448858" cy="609013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In questo blocco c'è</a:t>
          </a:r>
        </a:p>
        <a:p>
          <a:r>
            <a:rPr lang="it-IT" sz="1100">
              <a:solidFill>
                <a:schemeClr val="tx1"/>
              </a:solidFill>
            </a:rPr>
            <a:t>la formula</a:t>
          </a:r>
          <a:r>
            <a:rPr lang="it-IT" sz="1100" baseline="0">
              <a:solidFill>
                <a:schemeClr val="tx1"/>
              </a:solidFill>
            </a:rPr>
            <a:t> di Hunt per</a:t>
          </a:r>
        </a:p>
        <a:p>
          <a:r>
            <a:rPr lang="it-IT" sz="1100" baseline="0">
              <a:solidFill>
                <a:schemeClr val="tx1"/>
              </a:solidFill>
            </a:rPr>
            <a:t>la dispersione</a:t>
          </a:r>
          <a:endParaRPr lang="it-IT" sz="1100">
            <a:solidFill>
              <a:schemeClr val="tx1"/>
            </a:solidFill>
          </a:endParaRPr>
        </a:p>
      </xdr:txBody>
    </xdr:sp>
    <xdr:clientData/>
  </xdr:oneCellAnchor>
  <xdr:twoCellAnchor>
    <xdr:from>
      <xdr:col>3</xdr:col>
      <xdr:colOff>914400</xdr:colOff>
      <xdr:row>8</xdr:row>
      <xdr:rowOff>43815</xdr:rowOff>
    </xdr:from>
    <xdr:to>
      <xdr:col>4</xdr:col>
      <xdr:colOff>266700</xdr:colOff>
      <xdr:row>12</xdr:row>
      <xdr:rowOff>72390</xdr:rowOff>
    </xdr:to>
    <xdr:cxnSp macro="">
      <xdr:nvCxnSpPr>
        <xdr:cNvPr id="18" name="Connettore 2 17"/>
        <xdr:cNvCxnSpPr/>
      </xdr:nvCxnSpPr>
      <xdr:spPr>
        <a:xfrm flipH="1">
          <a:off x="3474720" y="1567815"/>
          <a:ext cx="304800" cy="790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607060</xdr:colOff>
      <xdr:row>25</xdr:row>
      <xdr:rowOff>27940</xdr:rowOff>
    </xdr:from>
    <xdr:to>
      <xdr:col>8</xdr:col>
      <xdr:colOff>81280</xdr:colOff>
      <xdr:row>40</xdr:row>
      <xdr:rowOff>118110</xdr:rowOff>
    </xdr:to>
    <xdr:graphicFrame macro="">
      <xdr:nvGraphicFramePr>
        <xdr:cNvPr id="21" name="Gra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oneCellAnchor>
    <xdr:from>
      <xdr:col>7</xdr:col>
      <xdr:colOff>807720</xdr:colOff>
      <xdr:row>3</xdr:row>
      <xdr:rowOff>114300</xdr:rowOff>
    </xdr:from>
    <xdr:ext cx="1619226" cy="436786"/>
    <xdr:sp macro="" textlink="">
      <xdr:nvSpPr>
        <xdr:cNvPr id="23" name="CasellaDiTesto 22"/>
        <xdr:cNvSpPr txBox="1"/>
      </xdr:nvSpPr>
      <xdr:spPr>
        <a:xfrm>
          <a:off x="7566660" y="662940"/>
          <a:ext cx="1619226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Costruire altri</a:t>
          </a:r>
          <a:r>
            <a:rPr lang="it-IT" sz="1100" baseline="0">
              <a:solidFill>
                <a:schemeClr val="tx1"/>
              </a:solidFill>
            </a:rPr>
            <a:t> diagrammi</a:t>
          </a:r>
        </a:p>
        <a:p>
          <a:r>
            <a:rPr lang="it-IT" sz="1100" baseline="0">
              <a:solidFill>
                <a:schemeClr val="tx1"/>
              </a:solidFill>
            </a:rPr>
            <a:t>L, H, ks</a:t>
          </a:r>
          <a:endParaRPr lang="it-IT" sz="1100">
            <a:solidFill>
              <a:schemeClr val="tx1"/>
            </a:solidFill>
          </a:endParaRPr>
        </a:p>
      </xdr:txBody>
    </xdr:sp>
    <xdr:clientData/>
  </xdr:oneCellAnchor>
  <xdr:twoCellAnchor>
    <xdr:from>
      <xdr:col>8</xdr:col>
      <xdr:colOff>457200</xdr:colOff>
      <xdr:row>5</xdr:row>
      <xdr:rowOff>38100</xdr:rowOff>
    </xdr:from>
    <xdr:to>
      <xdr:col>10</xdr:col>
      <xdr:colOff>883920</xdr:colOff>
      <xdr:row>15</xdr:row>
      <xdr:rowOff>104775</xdr:rowOff>
    </xdr:to>
    <xdr:cxnSp macro="">
      <xdr:nvCxnSpPr>
        <xdr:cNvPr id="24" name="Connettore 2 23"/>
        <xdr:cNvCxnSpPr/>
      </xdr:nvCxnSpPr>
      <xdr:spPr>
        <a:xfrm>
          <a:off x="8686800" y="952500"/>
          <a:ext cx="1897380" cy="192595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99060</xdr:colOff>
      <xdr:row>42</xdr:row>
      <xdr:rowOff>121920</xdr:rowOff>
    </xdr:from>
    <xdr:to>
      <xdr:col>3</xdr:col>
      <xdr:colOff>876300</xdr:colOff>
      <xdr:row>44</xdr:row>
      <xdr:rowOff>5715</xdr:rowOff>
    </xdr:to>
    <xdr:cxnSp macro="">
      <xdr:nvCxnSpPr>
        <xdr:cNvPr id="32" name="Connettore 2 31"/>
        <xdr:cNvCxnSpPr/>
      </xdr:nvCxnSpPr>
      <xdr:spPr>
        <a:xfrm flipH="1">
          <a:off x="2659380" y="7840980"/>
          <a:ext cx="777240" cy="24955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251460</xdr:colOff>
      <xdr:row>39</xdr:row>
      <xdr:rowOff>152400</xdr:rowOff>
    </xdr:from>
    <xdr:ext cx="6492240" cy="264560"/>
    <xdr:sp macro="" textlink="">
      <xdr:nvSpPr>
        <xdr:cNvPr id="33" name="CasellaDiTesto 32"/>
        <xdr:cNvSpPr txBox="1"/>
      </xdr:nvSpPr>
      <xdr:spPr>
        <a:xfrm>
          <a:off x="2811780" y="7322820"/>
          <a:ext cx="6492240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Variare del periodo</a:t>
          </a:r>
        </a:p>
      </xdr:txBody>
    </xdr:sp>
    <xdr:clientData/>
  </xdr:oneCellAnchor>
  <xdr:oneCellAnchor>
    <xdr:from>
      <xdr:col>3</xdr:col>
      <xdr:colOff>0</xdr:colOff>
      <xdr:row>2</xdr:row>
      <xdr:rowOff>83820</xdr:rowOff>
    </xdr:from>
    <xdr:ext cx="1332929" cy="436786"/>
    <xdr:sp macro="" textlink="">
      <xdr:nvSpPr>
        <xdr:cNvPr id="34" name="CasellaDiTesto 33"/>
        <xdr:cNvSpPr txBox="1"/>
      </xdr:nvSpPr>
      <xdr:spPr>
        <a:xfrm>
          <a:off x="2560320" y="449580"/>
          <a:ext cx="1332929" cy="436786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Per un dato periodo</a:t>
          </a:r>
        </a:p>
        <a:p>
          <a:r>
            <a:rPr lang="it-IT" sz="1100">
              <a:solidFill>
                <a:schemeClr val="tx1"/>
              </a:solidFill>
            </a:rPr>
            <a:t>T</a:t>
          </a:r>
        </a:p>
      </xdr:txBody>
    </xdr:sp>
    <xdr:clientData/>
  </xdr:oneCellAnchor>
  <xdr:oneCellAnchor>
    <xdr:from>
      <xdr:col>12</xdr:col>
      <xdr:colOff>251460</xdr:colOff>
      <xdr:row>4</xdr:row>
      <xdr:rowOff>160020</xdr:rowOff>
    </xdr:from>
    <xdr:ext cx="1959254" cy="264560"/>
    <xdr:sp macro="" textlink="">
      <xdr:nvSpPr>
        <xdr:cNvPr id="35" name="CasellaDiTesto 34"/>
        <xdr:cNvSpPr txBox="1"/>
      </xdr:nvSpPr>
      <xdr:spPr>
        <a:xfrm>
          <a:off x="12131040" y="891540"/>
          <a:ext cx="1959254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Inserire (formula</a:t>
          </a:r>
          <a:r>
            <a:rPr lang="it-IT" sz="1100" baseline="0">
              <a:solidFill>
                <a:schemeClr val="tx1"/>
              </a:solidFill>
            </a:rPr>
            <a:t> sugli appunti)</a:t>
          </a:r>
          <a:endParaRPr lang="it-IT" sz="1100">
            <a:solidFill>
              <a:schemeClr val="tx1"/>
            </a:solidFill>
          </a:endParaRPr>
        </a:p>
      </xdr:txBody>
    </xdr:sp>
    <xdr:clientData/>
  </xdr:oneCellAnchor>
  <xdr:oneCellAnchor>
    <xdr:from>
      <xdr:col>13</xdr:col>
      <xdr:colOff>525780</xdr:colOff>
      <xdr:row>7</xdr:row>
      <xdr:rowOff>160020</xdr:rowOff>
    </xdr:from>
    <xdr:ext cx="1714500" cy="264560"/>
    <xdr:sp macro="" textlink="">
      <xdr:nvSpPr>
        <xdr:cNvPr id="37" name="CasellaDiTesto 36"/>
        <xdr:cNvSpPr txBox="1"/>
      </xdr:nvSpPr>
      <xdr:spPr>
        <a:xfrm>
          <a:off x="12092940" y="1440180"/>
          <a:ext cx="1714500" cy="264560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Formule di Snell</a:t>
          </a:r>
        </a:p>
      </xdr:txBody>
    </xdr:sp>
    <xdr:clientData/>
  </xdr:oneCellAnchor>
  <xdr:twoCellAnchor>
    <xdr:from>
      <xdr:col>13</xdr:col>
      <xdr:colOff>320040</xdr:colOff>
      <xdr:row>9</xdr:row>
      <xdr:rowOff>58820</xdr:rowOff>
    </xdr:from>
    <xdr:to>
      <xdr:col>14</xdr:col>
      <xdr:colOff>689610</xdr:colOff>
      <xdr:row>11</xdr:row>
      <xdr:rowOff>30480</xdr:rowOff>
    </xdr:to>
    <xdr:cxnSp macro="">
      <xdr:nvCxnSpPr>
        <xdr:cNvPr id="39" name="Connettore 2 38"/>
        <xdr:cNvCxnSpPr>
          <a:stCxn id="37" idx="2"/>
        </xdr:cNvCxnSpPr>
      </xdr:nvCxnSpPr>
      <xdr:spPr>
        <a:xfrm flipH="1">
          <a:off x="11887200" y="1704740"/>
          <a:ext cx="1062990" cy="36028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723900</xdr:colOff>
          <xdr:row>8</xdr:row>
          <xdr:rowOff>12700</xdr:rowOff>
        </xdr:from>
        <xdr:to>
          <xdr:col>8</xdr:col>
          <xdr:colOff>127000</xdr:colOff>
          <xdr:row>10</xdr:row>
          <xdr:rowOff>177800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00FFFF" mc:Ignorable="a14" a14:legacySpreadsheetColorIndex="1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984250</xdr:colOff>
          <xdr:row>5</xdr:row>
          <xdr:rowOff>82550</xdr:rowOff>
        </xdr:from>
        <xdr:to>
          <xdr:col>10</xdr:col>
          <xdr:colOff>400050</xdr:colOff>
          <xdr:row>8</xdr:row>
          <xdr:rowOff>95250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00FFFF" mc:Ignorable="a14" a14:legacySpreadsheetColorIndex="15"/>
            </a:solidFill>
          </xdr:spPr>
        </xdr:sp>
        <xdr:clientData/>
      </xdr:twoCellAnchor>
    </mc:Choice>
    <mc:Fallback/>
  </mc:AlternateContent>
  <xdr:twoCellAnchor>
    <xdr:from>
      <xdr:col>7</xdr:col>
      <xdr:colOff>361950</xdr:colOff>
      <xdr:row>16</xdr:row>
      <xdr:rowOff>167640</xdr:rowOff>
    </xdr:from>
    <xdr:to>
      <xdr:col>13</xdr:col>
      <xdr:colOff>0</xdr:colOff>
      <xdr:row>32</xdr:row>
      <xdr:rowOff>67310</xdr:rowOff>
    </xdr:to>
    <xdr:graphicFrame macro="">
      <xdr:nvGraphicFramePr>
        <xdr:cNvPr id="29" name="Gra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4</xdr:row>
      <xdr:rowOff>85725</xdr:rowOff>
    </xdr:from>
    <xdr:to>
      <xdr:col>17</xdr:col>
      <xdr:colOff>581025</xdr:colOff>
      <xdr:row>18</xdr:row>
      <xdr:rowOff>161925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104775</xdr:colOff>
      <xdr:row>4</xdr:row>
      <xdr:rowOff>85725</xdr:rowOff>
    </xdr:from>
    <xdr:to>
      <xdr:col>26</xdr:col>
      <xdr:colOff>409575</xdr:colOff>
      <xdr:row>18</xdr:row>
      <xdr:rowOff>161925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29</xdr:row>
      <xdr:rowOff>38100</xdr:rowOff>
    </xdr:from>
    <xdr:to>
      <xdr:col>17</xdr:col>
      <xdr:colOff>600075</xdr:colOff>
      <xdr:row>43</xdr:row>
      <xdr:rowOff>76200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590550</xdr:colOff>
      <xdr:row>28</xdr:row>
      <xdr:rowOff>171450</xdr:rowOff>
    </xdr:from>
    <xdr:to>
      <xdr:col>26</xdr:col>
      <xdr:colOff>285750</xdr:colOff>
      <xdr:row>43</xdr:row>
      <xdr:rowOff>57150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361950</xdr:colOff>
      <xdr:row>51</xdr:row>
      <xdr:rowOff>104775</xdr:rowOff>
    </xdr:from>
    <xdr:to>
      <xdr:col>17</xdr:col>
      <xdr:colOff>352425</xdr:colOff>
      <xdr:row>65</xdr:row>
      <xdr:rowOff>180975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419100</xdr:colOff>
      <xdr:row>51</xdr:row>
      <xdr:rowOff>152400</xdr:rowOff>
    </xdr:from>
    <xdr:to>
      <xdr:col>26</xdr:col>
      <xdr:colOff>114300</xdr:colOff>
      <xdr:row>66</xdr:row>
      <xdr:rowOff>38100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485775</xdr:colOff>
      <xdr:row>75</xdr:row>
      <xdr:rowOff>76200</xdr:rowOff>
    </xdr:from>
    <xdr:to>
      <xdr:col>17</xdr:col>
      <xdr:colOff>476250</xdr:colOff>
      <xdr:row>89</xdr:row>
      <xdr:rowOff>152400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419100</xdr:colOff>
      <xdr:row>75</xdr:row>
      <xdr:rowOff>85725</xdr:rowOff>
    </xdr:from>
    <xdr:to>
      <xdr:col>26</xdr:col>
      <xdr:colOff>114300</xdr:colOff>
      <xdr:row>89</xdr:row>
      <xdr:rowOff>161925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533400</xdr:colOff>
      <xdr:row>99</xdr:row>
      <xdr:rowOff>180975</xdr:rowOff>
    </xdr:from>
    <xdr:to>
      <xdr:col>18</xdr:col>
      <xdr:colOff>523875</xdr:colOff>
      <xdr:row>124</xdr:row>
      <xdr:rowOff>66675</xdr:rowOff>
    </xdr:to>
    <xdr:graphicFrame macro="">
      <xdr:nvGraphicFramePr>
        <xdr:cNvPr id="10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8</xdr:row>
      <xdr:rowOff>152400</xdr:rowOff>
    </xdr:from>
    <xdr:to>
      <xdr:col>13</xdr:col>
      <xdr:colOff>285750</xdr:colOff>
      <xdr:row>23</xdr:row>
      <xdr:rowOff>38100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590550</xdr:colOff>
      <xdr:row>34</xdr:row>
      <xdr:rowOff>47625</xdr:rowOff>
    </xdr:from>
    <xdr:to>
      <xdr:col>12</xdr:col>
      <xdr:colOff>581025</xdr:colOff>
      <xdr:row>48</xdr:row>
      <xdr:rowOff>123825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19050</xdr:colOff>
      <xdr:row>59</xdr:row>
      <xdr:rowOff>57150</xdr:rowOff>
    </xdr:from>
    <xdr:to>
      <xdr:col>13</xdr:col>
      <xdr:colOff>9525</xdr:colOff>
      <xdr:row>73</xdr:row>
      <xdr:rowOff>133350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9"/>
  <sheetViews>
    <sheetView topLeftCell="A22" workbookViewId="0">
      <selection activeCell="K5" sqref="K5"/>
    </sheetView>
  </sheetViews>
  <sheetFormatPr defaultRowHeight="14.5" x14ac:dyDescent="0.35"/>
  <cols>
    <col min="5" max="5" width="11.90625" customWidth="1"/>
  </cols>
  <sheetData>
    <row r="4" spans="2:10" x14ac:dyDescent="0.35">
      <c r="G4" t="s">
        <v>88</v>
      </c>
    </row>
    <row r="5" spans="2:10" x14ac:dyDescent="0.35">
      <c r="B5" t="s">
        <v>82</v>
      </c>
      <c r="E5" t="s">
        <v>84</v>
      </c>
      <c r="F5" t="s">
        <v>85</v>
      </c>
      <c r="G5" t="s">
        <v>13</v>
      </c>
      <c r="H5" t="s">
        <v>19</v>
      </c>
      <c r="I5" t="s">
        <v>87</v>
      </c>
      <c r="J5" t="s">
        <v>22</v>
      </c>
    </row>
    <row r="6" spans="2:10" x14ac:dyDescent="0.35">
      <c r="B6" s="11" t="s">
        <v>30</v>
      </c>
      <c r="C6" s="11" t="s">
        <v>83</v>
      </c>
      <c r="E6" s="11"/>
    </row>
    <row r="7" spans="2:10" x14ac:dyDescent="0.35">
      <c r="B7" s="11"/>
      <c r="C7" s="11"/>
      <c r="E7" s="11"/>
      <c r="G7" t="s">
        <v>86</v>
      </c>
    </row>
    <row r="8" spans="2:10" x14ac:dyDescent="0.35">
      <c r="B8" s="11"/>
      <c r="C8" s="11"/>
      <c r="E8" s="11"/>
    </row>
    <row r="9" spans="2:10" x14ac:dyDescent="0.35">
      <c r="B9" s="11"/>
      <c r="C9" s="11"/>
      <c r="E9" s="11"/>
    </row>
    <row r="10" spans="2:10" x14ac:dyDescent="0.35">
      <c r="B10" s="11"/>
      <c r="C10" s="11"/>
      <c r="E10" s="11"/>
    </row>
    <row r="11" spans="2:10" x14ac:dyDescent="0.35">
      <c r="B11" s="11"/>
      <c r="C11" s="11"/>
      <c r="E11" s="11"/>
    </row>
    <row r="12" spans="2:10" x14ac:dyDescent="0.35">
      <c r="B12" s="11"/>
      <c r="C12" s="11"/>
      <c r="E12" s="11"/>
    </row>
    <row r="13" spans="2:10" x14ac:dyDescent="0.35">
      <c r="B13" s="11"/>
      <c r="C13" s="11"/>
      <c r="E13" s="11"/>
    </row>
    <row r="14" spans="2:10" x14ac:dyDescent="0.35">
      <c r="B14" s="11"/>
      <c r="C14" s="11"/>
      <c r="E14" s="11"/>
    </row>
    <row r="15" spans="2:10" x14ac:dyDescent="0.35">
      <c r="B15" s="11"/>
      <c r="C15" s="11"/>
      <c r="E15" s="11"/>
    </row>
    <row r="16" spans="2:10" x14ac:dyDescent="0.35">
      <c r="B16" s="11"/>
      <c r="C16" s="11"/>
      <c r="E16" s="11"/>
    </row>
    <row r="17" spans="2:5" x14ac:dyDescent="0.35">
      <c r="B17" s="11"/>
      <c r="C17" s="11"/>
      <c r="E17" s="11"/>
    </row>
    <row r="18" spans="2:5" x14ac:dyDescent="0.35">
      <c r="B18" s="11"/>
      <c r="C18" s="11"/>
      <c r="E18" s="11"/>
    </row>
    <row r="19" spans="2:5" x14ac:dyDescent="0.35">
      <c r="E19" s="1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499"/>
  <sheetViews>
    <sheetView tabSelected="1" topLeftCell="A25" workbookViewId="0">
      <selection activeCell="S13" sqref="S13:S39"/>
    </sheetView>
  </sheetViews>
  <sheetFormatPr defaultRowHeight="14.5" x14ac:dyDescent="0.35"/>
  <cols>
    <col min="1" max="1" width="6.6328125" customWidth="1"/>
    <col min="2" max="2" width="10.453125" customWidth="1"/>
    <col min="3" max="3" width="11.54296875" bestFit="1" customWidth="1"/>
    <col min="4" max="4" width="13.90625" bestFit="1" customWidth="1"/>
    <col min="5" max="5" width="14" customWidth="1"/>
    <col min="6" max="6" width="15.90625" customWidth="1"/>
    <col min="7" max="7" width="17.453125" customWidth="1"/>
    <col min="8" max="8" width="21.453125" customWidth="1"/>
    <col min="9" max="9" width="17.08984375" customWidth="1"/>
    <col min="10" max="10" width="13.08984375" customWidth="1"/>
    <col min="11" max="11" width="7.36328125" customWidth="1"/>
    <col min="12" max="12" width="7.6328125" customWidth="1"/>
    <col min="13" max="13" width="8.08984375" customWidth="1"/>
    <col min="14" max="14" width="10.08984375" customWidth="1"/>
    <col min="15" max="15" width="13.90625" customWidth="1"/>
    <col min="16" max="16" width="11.1796875" customWidth="1"/>
    <col min="17" max="17" width="9.6328125" customWidth="1"/>
    <col min="18" max="20" width="11.1796875" customWidth="1"/>
    <col min="21" max="21" width="23.54296875" customWidth="1"/>
    <col min="22" max="22" width="18.36328125" customWidth="1"/>
    <col min="23" max="23" width="13.90625" bestFit="1" customWidth="1"/>
    <col min="25" max="25" width="17.36328125" customWidth="1"/>
    <col min="26" max="26" width="17.08984375" customWidth="1"/>
    <col min="27" max="27" width="16" customWidth="1"/>
  </cols>
  <sheetData>
    <row r="1" spans="1:32" x14ac:dyDescent="0.35">
      <c r="A1" s="2" t="s">
        <v>71</v>
      </c>
      <c r="F1" t="s">
        <v>74</v>
      </c>
      <c r="G1" s="2"/>
      <c r="H1" s="2"/>
      <c r="I1" s="2"/>
      <c r="J1" s="2"/>
      <c r="K1" s="2"/>
      <c r="L1" s="2"/>
      <c r="M1" s="2"/>
      <c r="N1" s="2"/>
      <c r="O1" s="2"/>
    </row>
    <row r="2" spans="1:32" x14ac:dyDescent="0.35">
      <c r="B2" s="11" t="s">
        <v>0</v>
      </c>
      <c r="C2" s="11">
        <v>7</v>
      </c>
      <c r="D2" s="12" t="s">
        <v>72</v>
      </c>
      <c r="E2" s="12">
        <f>6.28/$C$2</f>
        <v>0.89714285714285713</v>
      </c>
    </row>
    <row r="3" spans="1:32" x14ac:dyDescent="0.35">
      <c r="A3" t="s">
        <v>3</v>
      </c>
      <c r="B3">
        <v>0.66700000000000004</v>
      </c>
      <c r="L3" s="11" t="s">
        <v>30</v>
      </c>
      <c r="M3" s="11">
        <v>3</v>
      </c>
    </row>
    <row r="4" spans="1:32" x14ac:dyDescent="0.35">
      <c r="A4" t="s">
        <v>4</v>
      </c>
      <c r="B4">
        <v>0.35599999999999998</v>
      </c>
      <c r="G4" s="22"/>
    </row>
    <row r="5" spans="1:32" x14ac:dyDescent="0.35">
      <c r="A5" t="s">
        <v>5</v>
      </c>
      <c r="B5">
        <v>0.161</v>
      </c>
    </row>
    <row r="6" spans="1:32" x14ac:dyDescent="0.35">
      <c r="A6" t="s">
        <v>6</v>
      </c>
      <c r="B6">
        <v>6.3E-2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AF6">
        <f>1030*9.81^2/(32*3.14)</f>
        <v>986.49664609872616</v>
      </c>
    </row>
    <row r="7" spans="1:32" x14ac:dyDescent="0.35">
      <c r="A7" t="s">
        <v>7</v>
      </c>
      <c r="B7">
        <v>2.1000000000000001E-2</v>
      </c>
      <c r="U7" t="s">
        <v>67</v>
      </c>
    </row>
    <row r="8" spans="1:32" x14ac:dyDescent="0.35">
      <c r="A8" t="s">
        <v>8</v>
      </c>
      <c r="B8">
        <v>6.0000000000000001E-3</v>
      </c>
      <c r="L8" s="11" t="s">
        <v>75</v>
      </c>
    </row>
    <row r="9" spans="1:32" x14ac:dyDescent="0.35">
      <c r="L9" t="s">
        <v>76</v>
      </c>
    </row>
    <row r="11" spans="1:32" ht="16.5" x14ac:dyDescent="0.35">
      <c r="U11" s="7" t="s">
        <v>63</v>
      </c>
      <c r="V11" s="8" t="s">
        <v>64</v>
      </c>
    </row>
    <row r="12" spans="1:32" ht="15" thickBot="1" x14ac:dyDescent="0.4">
      <c r="A12" s="11" t="s">
        <v>1</v>
      </c>
      <c r="B12" s="1" t="s">
        <v>2</v>
      </c>
      <c r="C12" t="s">
        <v>9</v>
      </c>
      <c r="D12" t="s">
        <v>10</v>
      </c>
      <c r="E12" t="s">
        <v>11</v>
      </c>
      <c r="F12" s="2" t="s">
        <v>12</v>
      </c>
      <c r="G12" t="s">
        <v>13</v>
      </c>
      <c r="H12" t="s">
        <v>14</v>
      </c>
      <c r="I12" t="s">
        <v>19</v>
      </c>
      <c r="J12" t="s">
        <v>73</v>
      </c>
      <c r="K12" t="s">
        <v>80</v>
      </c>
      <c r="M12" t="s">
        <v>77</v>
      </c>
      <c r="N12" t="s">
        <v>78</v>
      </c>
      <c r="O12" t="s">
        <v>79</v>
      </c>
      <c r="P12" t="s">
        <v>52</v>
      </c>
      <c r="Q12" t="s">
        <v>81</v>
      </c>
      <c r="S12" s="33" t="s">
        <v>90</v>
      </c>
      <c r="U12" s="7" t="s">
        <v>62</v>
      </c>
      <c r="V12" s="8" t="s">
        <v>66</v>
      </c>
    </row>
    <row r="13" spans="1:32" x14ac:dyDescent="0.35">
      <c r="A13" s="11">
        <v>500</v>
      </c>
      <c r="B13" s="13">
        <f t="shared" ref="B13" si="0">(((2*PI()/$C$2)^2*A13)/9.81)</f>
        <v>41.064321708749326</v>
      </c>
      <c r="C13" s="14">
        <f t="shared" ref="C13" si="1">$B$3*(B13^1)+$B$4*(B13^2)+$B$5*(B13^3)+$B$6*(B13^4)+$B$7*(B13^5)+$B$8*(B13^6)</f>
        <v>31412998.088708349</v>
      </c>
      <c r="D13" s="14">
        <f t="shared" ref="D13" si="2">B13/(1+C13)</f>
        <v>1.3072397701596795E-6</v>
      </c>
      <c r="E13" s="14">
        <f t="shared" ref="E13" si="3">SQRT((B13^2)+D13)</f>
        <v>41.0643217246663</v>
      </c>
      <c r="F13" s="15">
        <f t="shared" ref="F13" si="4">E13/A13</f>
        <v>8.21286434493326E-2</v>
      </c>
      <c r="G13" s="2">
        <f t="shared" ref="G13" si="5">2*PI()/F13</f>
        <v>76.504189565189336</v>
      </c>
      <c r="H13" s="31">
        <f t="shared" ref="H13:H39" si="6">G13/$C$2</f>
        <v>10.929169937884192</v>
      </c>
      <c r="I13">
        <f>0.5*(1+2*F13*A13/SINH(2*F13*A13))</f>
        <v>0.5</v>
      </c>
      <c r="J13" s="29">
        <f>SQRT(2*COSH(F13*A13)^2/(2*A13*F13+SINH(2*A13*F13)))</f>
        <v>1</v>
      </c>
      <c r="K13" s="2">
        <f>$M$3*J13</f>
        <v>3</v>
      </c>
      <c r="S13" s="7">
        <f>SQRT(1*(SQRT(9.81*A13))/(0.5*$H$13))</f>
        <v>3.5799846237519271</v>
      </c>
      <c r="U13" s="7"/>
      <c r="V13" s="8"/>
    </row>
    <row r="14" spans="1:32" x14ac:dyDescent="0.35">
      <c r="A14" s="11">
        <v>100</v>
      </c>
      <c r="B14" s="16">
        <f t="shared" ref="B14:B39" si="7">(((2*PI()/$C$2)^2*A14)/9.81)</f>
        <v>8.2128643417498655</v>
      </c>
      <c r="C14" s="17">
        <f t="shared" ref="C14:C39" si="8">$B$3*(B14^1)+$B$4*(B14^2)+$B$5*(B14^3)+$B$6*(B14^4)+$B$7*(B14^5)+$B$8*(B14^6)</f>
        <v>3031.2646365862815</v>
      </c>
      <c r="D14" s="17">
        <f t="shared" ref="D14:D39" si="9">B14/(1+C14)</f>
        <v>2.7084919444880294E-3</v>
      </c>
      <c r="E14" s="17">
        <f t="shared" ref="E14:E39" si="10">SQRT((B14^2)+D14)</f>
        <v>8.2130292333542165</v>
      </c>
      <c r="F14" s="18">
        <f t="shared" ref="F14:F39" si="11">E14/A14</f>
        <v>8.213029233354216E-2</v>
      </c>
      <c r="G14" s="2">
        <f t="shared" ref="G14:G39" si="12">2*PI()/F14</f>
        <v>76.50265363311658</v>
      </c>
      <c r="H14" s="31">
        <f t="shared" si="6"/>
        <v>10.928950519016654</v>
      </c>
      <c r="I14">
        <f t="shared" ref="I14:I39" si="13">0.5*(1+2*F14*A14/SINH(2*F14*A14))</f>
        <v>0.50000120722108699</v>
      </c>
      <c r="J14" s="29">
        <f t="shared" ref="J14:J39" si="14">SQRT(2*COSH(F14*A14)^2/(2*A14*F14+SINH(2*A14*F14)))</f>
        <v>0.99999886627527756</v>
      </c>
      <c r="K14" s="2">
        <f t="shared" ref="K14:K39" si="15">$M$3*J14</f>
        <v>2.9999965988258328</v>
      </c>
      <c r="S14" s="7">
        <f t="shared" ref="S14:S39" si="16">SQRT(1*(SQRT(9.81*A14))/(0.5*$H$13))</f>
        <v>2.3940800090987651</v>
      </c>
      <c r="U14" s="7">
        <f t="shared" ref="U14:U39" si="17">9.81/6.28*$C$2^2*TANH(E14)</f>
        <v>76.542982379632022</v>
      </c>
      <c r="V14" s="9">
        <f t="shared" ref="V14:V39" si="18">ATANH(G14*6.28/(9.81*$C$2^2))/(6.28/G14)</f>
        <v>50.196631658019108</v>
      </c>
    </row>
    <row r="15" spans="1:32" x14ac:dyDescent="0.35">
      <c r="A15" s="11">
        <v>90</v>
      </c>
      <c r="B15" s="16">
        <f t="shared" si="7"/>
        <v>7.3915779075748782</v>
      </c>
      <c r="C15" s="17">
        <f t="shared" si="8"/>
        <v>1719.3315948357294</v>
      </c>
      <c r="D15" s="17">
        <f t="shared" si="9"/>
        <v>4.2966006842888238E-3</v>
      </c>
      <c r="E15" s="17">
        <f t="shared" si="10"/>
        <v>7.3918685435032803</v>
      </c>
      <c r="F15" s="18">
        <f t="shared" si="11"/>
        <v>8.2131872705591996E-2</v>
      </c>
      <c r="G15" s="2">
        <f t="shared" si="12"/>
        <v>76.501181577852805</v>
      </c>
      <c r="H15" s="31">
        <f t="shared" si="6"/>
        <v>10.928740225407543</v>
      </c>
      <c r="I15">
        <f t="shared" si="13"/>
        <v>0.50000561421178735</v>
      </c>
      <c r="J15" s="29">
        <f t="shared" si="14"/>
        <v>0.99999476558935896</v>
      </c>
      <c r="K15" s="2">
        <f t="shared" si="15"/>
        <v>2.9999842967680768</v>
      </c>
      <c r="S15" s="7">
        <f t="shared" si="16"/>
        <v>2.3318428981041057</v>
      </c>
      <c r="U15" s="7">
        <f t="shared" si="17"/>
        <v>76.542935495284269</v>
      </c>
      <c r="V15" s="9">
        <f t="shared" si="18"/>
        <v>49.977303697399627</v>
      </c>
    </row>
    <row r="16" spans="1:32" x14ac:dyDescent="0.35">
      <c r="A16" s="11">
        <v>80</v>
      </c>
      <c r="B16" s="16">
        <f t="shared" si="7"/>
        <v>6.5702914733998927</v>
      </c>
      <c r="C16" s="17">
        <f t="shared" si="8"/>
        <v>922.62169395660817</v>
      </c>
      <c r="D16" s="17">
        <f t="shared" si="9"/>
        <v>7.113617530196909E-3</v>
      </c>
      <c r="E16" s="17">
        <f t="shared" si="10"/>
        <v>6.570832798280712</v>
      </c>
      <c r="F16" s="18">
        <f t="shared" si="11"/>
        <v>8.2135409978508905E-2</v>
      </c>
      <c r="G16" s="2">
        <f t="shared" si="12"/>
        <v>76.497886950629564</v>
      </c>
      <c r="H16" s="31">
        <f t="shared" si="6"/>
        <v>10.928269564375652</v>
      </c>
      <c r="I16">
        <f t="shared" si="13"/>
        <v>0.50002578086948768</v>
      </c>
      <c r="J16" s="29">
        <f t="shared" si="14"/>
        <v>0.99997618184455117</v>
      </c>
      <c r="K16" s="2">
        <f t="shared" si="15"/>
        <v>2.9999285455336535</v>
      </c>
      <c r="S16" s="7">
        <f t="shared" si="16"/>
        <v>2.2641810798874036</v>
      </c>
      <c r="U16" s="7">
        <f t="shared" si="17"/>
        <v>76.542693312315521</v>
      </c>
      <c r="V16" s="9">
        <f t="shared" si="18"/>
        <v>49.513074662283834</v>
      </c>
    </row>
    <row r="17" spans="1:22" x14ac:dyDescent="0.35">
      <c r="A17" s="11">
        <v>70</v>
      </c>
      <c r="B17" s="16">
        <f t="shared" si="7"/>
        <v>5.7490050392249055</v>
      </c>
      <c r="C17" s="17">
        <f t="shared" si="8"/>
        <v>463.51751560411492</v>
      </c>
      <c r="D17" s="17">
        <f t="shared" si="9"/>
        <v>1.237629334977434E-2</v>
      </c>
      <c r="E17" s="17">
        <f t="shared" si="10"/>
        <v>5.7500813241538706</v>
      </c>
      <c r="F17" s="18">
        <f t="shared" si="11"/>
        <v>8.214401891648386E-2</v>
      </c>
      <c r="G17" s="2">
        <f t="shared" si="12"/>
        <v>76.489869744110337</v>
      </c>
      <c r="H17" s="31">
        <f t="shared" si="6"/>
        <v>10.92712424915862</v>
      </c>
      <c r="I17">
        <f t="shared" si="13"/>
        <v>0.50011647877742194</v>
      </c>
      <c r="J17" s="29">
        <f t="shared" si="14"/>
        <v>0.99989366888742082</v>
      </c>
      <c r="K17" s="2">
        <f t="shared" si="15"/>
        <v>2.9996810066622626</v>
      </c>
      <c r="S17" s="7">
        <f t="shared" si="16"/>
        <v>2.1898439624535935</v>
      </c>
      <c r="U17" s="7">
        <f t="shared" si="17"/>
        <v>76.541443123108365</v>
      </c>
      <c r="V17" s="9">
        <f t="shared" si="18"/>
        <v>48.511271845108674</v>
      </c>
    </row>
    <row r="18" spans="1:22" x14ac:dyDescent="0.35">
      <c r="A18" s="11">
        <v>60</v>
      </c>
      <c r="B18" s="16">
        <f t="shared" si="7"/>
        <v>4.9277186050499191</v>
      </c>
      <c r="C18" s="17">
        <f t="shared" si="8"/>
        <v>215.26645383025328</v>
      </c>
      <c r="D18" s="17">
        <f t="shared" si="9"/>
        <v>2.2785404383232115E-2</v>
      </c>
      <c r="E18" s="17">
        <f t="shared" si="10"/>
        <v>4.9300300257643821</v>
      </c>
      <c r="F18" s="18">
        <f t="shared" si="11"/>
        <v>8.2167167096073038E-2</v>
      </c>
      <c r="G18" s="2">
        <f t="shared" si="12"/>
        <v>76.468320975859399</v>
      </c>
      <c r="H18" s="31">
        <f t="shared" si="6"/>
        <v>10.924045853694199</v>
      </c>
      <c r="I18">
        <f t="shared" si="13"/>
        <v>0.50051488458470406</v>
      </c>
      <c r="J18" s="29">
        <f t="shared" si="14"/>
        <v>0.999537706443969</v>
      </c>
      <c r="K18" s="2">
        <f t="shared" si="15"/>
        <v>2.9986131193319068</v>
      </c>
      <c r="S18" s="7">
        <f t="shared" si="16"/>
        <v>2.1070579148302571</v>
      </c>
      <c r="U18" s="7">
        <f t="shared" si="17"/>
        <v>76.535000018104341</v>
      </c>
      <c r="V18" s="9">
        <f t="shared" si="18"/>
        <v>46.423778805550484</v>
      </c>
    </row>
    <row r="19" spans="1:22" x14ac:dyDescent="0.35">
      <c r="A19" s="11">
        <v>50</v>
      </c>
      <c r="B19" s="16">
        <f t="shared" si="7"/>
        <v>4.1064321708749327</v>
      </c>
      <c r="C19" s="17">
        <f t="shared" si="8"/>
        <v>91.096202964157243</v>
      </c>
      <c r="D19" s="17">
        <f t="shared" si="9"/>
        <v>4.4588506786464449E-2</v>
      </c>
      <c r="E19" s="17">
        <f t="shared" si="10"/>
        <v>4.1118576921852581</v>
      </c>
      <c r="F19" s="18">
        <f t="shared" si="11"/>
        <v>8.2237153843705169E-2</v>
      </c>
      <c r="G19" s="2">
        <f t="shared" si="12"/>
        <v>76.403243710513351</v>
      </c>
      <c r="H19" s="31">
        <f t="shared" si="6"/>
        <v>10.914749101501908</v>
      </c>
      <c r="I19">
        <f t="shared" si="13"/>
        <v>0.50220573782344236</v>
      </c>
      <c r="J19" s="29">
        <f t="shared" si="14"/>
        <v>0.99806919628841206</v>
      </c>
      <c r="K19" s="2">
        <f t="shared" si="15"/>
        <v>2.994207588865236</v>
      </c>
      <c r="S19" s="7">
        <f t="shared" si="16"/>
        <v>2.0131732974817318</v>
      </c>
      <c r="U19" s="7">
        <f t="shared" si="17"/>
        <v>76.501944424892869</v>
      </c>
      <c r="V19" s="9">
        <f t="shared" si="18"/>
        <v>42.569181702866672</v>
      </c>
    </row>
    <row r="20" spans="1:22" x14ac:dyDescent="0.35">
      <c r="A20" s="11">
        <v>40</v>
      </c>
      <c r="B20" s="16">
        <f t="shared" si="7"/>
        <v>3.2851457366999464</v>
      </c>
      <c r="C20" s="17">
        <f t="shared" si="8"/>
        <v>34.655964987232018</v>
      </c>
      <c r="D20" s="17">
        <f t="shared" si="9"/>
        <v>9.2134534512705479E-2</v>
      </c>
      <c r="E20" s="17">
        <f t="shared" si="10"/>
        <v>3.2991388339793368</v>
      </c>
      <c r="F20" s="18">
        <f t="shared" si="11"/>
        <v>8.2478470849483426E-2</v>
      </c>
      <c r="G20" s="2">
        <f t="shared" si="12"/>
        <v>76.179701714473993</v>
      </c>
      <c r="H20" s="31">
        <f t="shared" si="6"/>
        <v>10.882814530639141</v>
      </c>
      <c r="I20">
        <f t="shared" si="13"/>
        <v>0.50899157586129362</v>
      </c>
      <c r="J20" s="29">
        <f t="shared" si="14"/>
        <v>0.99247945200471133</v>
      </c>
      <c r="K20" s="2">
        <f t="shared" si="15"/>
        <v>2.977438356014134</v>
      </c>
      <c r="S20" s="7">
        <f t="shared" si="16"/>
        <v>1.9039417535626022</v>
      </c>
      <c r="U20" s="7">
        <f t="shared" si="17"/>
        <v>76.334665247949474</v>
      </c>
      <c r="V20" s="9">
        <f t="shared" si="18"/>
        <v>36.641298799660397</v>
      </c>
    </row>
    <row r="21" spans="1:22" ht="15" thickBot="1" x14ac:dyDescent="0.4">
      <c r="A21" s="11">
        <v>30</v>
      </c>
      <c r="B21" s="16">
        <f t="shared" si="7"/>
        <v>2.4638593025249595</v>
      </c>
      <c r="C21" s="17">
        <f t="shared" si="8"/>
        <v>11.783376403094184</v>
      </c>
      <c r="D21" s="17">
        <f t="shared" si="9"/>
        <v>0.19273932213468958</v>
      </c>
      <c r="E21" s="17">
        <f t="shared" si="10"/>
        <v>2.5026669744041996</v>
      </c>
      <c r="F21" s="18">
        <f t="shared" si="11"/>
        <v>8.3422232480139982E-2</v>
      </c>
      <c r="G21" s="2">
        <f t="shared" si="12"/>
        <v>75.317875347862454</v>
      </c>
      <c r="H21" s="31">
        <f t="shared" si="6"/>
        <v>10.759696478266065</v>
      </c>
      <c r="I21">
        <f t="shared" si="13"/>
        <v>0.53354776965426842</v>
      </c>
      <c r="J21" s="29">
        <f t="shared" si="14"/>
        <v>0.97456111182238758</v>
      </c>
      <c r="K21" s="2">
        <f t="shared" si="15"/>
        <v>2.923683335467163</v>
      </c>
      <c r="S21" s="7">
        <f t="shared" si="16"/>
        <v>1.7718174473127297</v>
      </c>
      <c r="U21" s="7">
        <f t="shared" si="17"/>
        <v>75.523826169489226</v>
      </c>
      <c r="V21" s="9">
        <f t="shared" si="18"/>
        <v>28.903398789062816</v>
      </c>
    </row>
    <row r="22" spans="1:22" ht="15" thickBot="1" x14ac:dyDescent="0.4">
      <c r="A22" s="23">
        <v>20</v>
      </c>
      <c r="B22" s="24">
        <f t="shared" si="7"/>
        <v>1.6425728683499732</v>
      </c>
      <c r="C22" s="25">
        <f t="shared" si="8"/>
        <v>3.5971546023161332</v>
      </c>
      <c r="D22" s="25">
        <f t="shared" si="9"/>
        <v>0.3573020727913771</v>
      </c>
      <c r="E22" s="25">
        <f t="shared" si="10"/>
        <v>1.7479552913707019</v>
      </c>
      <c r="F22" s="26">
        <f t="shared" si="11"/>
        <v>8.7397764568535097E-2</v>
      </c>
      <c r="G22" s="27">
        <f t="shared" si="12"/>
        <v>71.891830851720158</v>
      </c>
      <c r="H22" s="32">
        <f t="shared" si="6"/>
        <v>10.270261550245737</v>
      </c>
      <c r="I22" s="25">
        <f t="shared" si="13"/>
        <v>0.60609748807280384</v>
      </c>
      <c r="J22" s="30">
        <f t="shared" si="14"/>
        <v>0.93623763625264134</v>
      </c>
      <c r="K22" s="28">
        <f t="shared" si="15"/>
        <v>2.8087129087579239</v>
      </c>
      <c r="S22" s="7">
        <f t="shared" si="16"/>
        <v>1.6010177954226632</v>
      </c>
      <c r="U22" s="7">
        <f t="shared" si="17"/>
        <v>72.037855002694073</v>
      </c>
      <c r="V22" s="9">
        <f t="shared" si="18"/>
        <v>19.821932727744734</v>
      </c>
    </row>
    <row r="23" spans="1:22" x14ac:dyDescent="0.35">
      <c r="A23" s="11">
        <v>10</v>
      </c>
      <c r="B23" s="16">
        <f t="shared" si="7"/>
        <v>0.82128643417498659</v>
      </c>
      <c r="C23" s="17">
        <f t="shared" si="8"/>
        <v>0.91546372197411974</v>
      </c>
      <c r="D23" s="17">
        <f t="shared" si="9"/>
        <v>0.42876637377843441</v>
      </c>
      <c r="E23" s="17">
        <f t="shared" si="10"/>
        <v>1.0503703064816232</v>
      </c>
      <c r="F23" s="18">
        <f t="shared" si="11"/>
        <v>0.10503703064816232</v>
      </c>
      <c r="G23" s="2">
        <f t="shared" si="12"/>
        <v>59.818763615149038</v>
      </c>
      <c r="H23" s="31">
        <f t="shared" si="6"/>
        <v>8.5455376593070049</v>
      </c>
      <c r="I23">
        <f t="shared" si="13"/>
        <v>0.76096628837212754</v>
      </c>
      <c r="J23" s="29">
        <f t="shared" si="14"/>
        <v>0.91666937610850685</v>
      </c>
      <c r="K23" s="2">
        <f t="shared" si="15"/>
        <v>2.7500081283255207</v>
      </c>
      <c r="S23" s="7">
        <f t="shared" si="16"/>
        <v>1.3462901249283226</v>
      </c>
      <c r="U23" s="7">
        <f t="shared" si="17"/>
        <v>59.852815550324962</v>
      </c>
      <c r="V23" s="9">
        <f t="shared" si="18"/>
        <v>9.9941759574762745</v>
      </c>
    </row>
    <row r="24" spans="1:22" x14ac:dyDescent="0.35">
      <c r="A24" s="11">
        <v>9</v>
      </c>
      <c r="B24" s="16">
        <f t="shared" si="7"/>
        <v>0.73915779075748778</v>
      </c>
      <c r="C24" s="17">
        <f t="shared" si="8"/>
        <v>0.77695658936630785</v>
      </c>
      <c r="D24" s="17">
        <f t="shared" si="9"/>
        <v>0.41596840079311315</v>
      </c>
      <c r="E24" s="17">
        <f t="shared" si="10"/>
        <v>0.98098044854655653</v>
      </c>
      <c r="F24" s="18">
        <f t="shared" si="11"/>
        <v>0.10899782761628406</v>
      </c>
      <c r="G24" s="2">
        <f t="shared" si="12"/>
        <v>57.645050773845796</v>
      </c>
      <c r="H24" s="31">
        <f t="shared" si="6"/>
        <v>8.2350072534065415</v>
      </c>
      <c r="I24">
        <f t="shared" si="13"/>
        <v>0.78137833614196595</v>
      </c>
      <c r="J24" s="29">
        <f t="shared" si="14"/>
        <v>0.92154292015750461</v>
      </c>
      <c r="K24" s="2">
        <f t="shared" si="15"/>
        <v>2.7646287604725139</v>
      </c>
      <c r="S24" s="7">
        <f t="shared" si="16"/>
        <v>1.3112916254555669</v>
      </c>
      <c r="U24" s="7">
        <f t="shared" si="17"/>
        <v>57.674381776446033</v>
      </c>
      <c r="V24" s="9">
        <f t="shared" si="18"/>
        <v>8.9964329534468614</v>
      </c>
    </row>
    <row r="25" spans="1:22" x14ac:dyDescent="0.35">
      <c r="A25" s="11">
        <v>8</v>
      </c>
      <c r="B25" s="16">
        <f t="shared" si="7"/>
        <v>0.65702914733998918</v>
      </c>
      <c r="C25" s="17">
        <f t="shared" si="8"/>
        <v>0.65237794981694142</v>
      </c>
      <c r="D25" s="17">
        <f t="shared" si="9"/>
        <v>0.39762643129725744</v>
      </c>
      <c r="E25" s="17">
        <f t="shared" si="10"/>
        <v>0.9106666413960548</v>
      </c>
      <c r="F25" s="18">
        <f t="shared" si="11"/>
        <v>0.11383333017450685</v>
      </c>
      <c r="G25" s="2">
        <f t="shared" si="12"/>
        <v>55.196358549358465</v>
      </c>
      <c r="H25" s="31">
        <f t="shared" si="6"/>
        <v>7.8851940784797803</v>
      </c>
      <c r="I25">
        <f t="shared" si="13"/>
        <v>0.80263337773753962</v>
      </c>
      <c r="J25" s="29">
        <f t="shared" si="14"/>
        <v>0.92922878185254887</v>
      </c>
      <c r="K25" s="2">
        <f t="shared" si="15"/>
        <v>2.7876863455576464</v>
      </c>
      <c r="S25" s="7">
        <f t="shared" si="16"/>
        <v>1.2732425889347982</v>
      </c>
      <c r="U25" s="7">
        <f t="shared" si="17"/>
        <v>55.222100969339031</v>
      </c>
      <c r="V25" s="9">
        <f t="shared" si="18"/>
        <v>7.9978963047600464</v>
      </c>
    </row>
    <row r="26" spans="1:22" x14ac:dyDescent="0.35">
      <c r="A26" s="11">
        <v>7</v>
      </c>
      <c r="B26" s="16">
        <f t="shared" si="7"/>
        <v>0.57490050392249059</v>
      </c>
      <c r="C26" s="17">
        <f t="shared" si="8"/>
        <v>0.54012951204202775</v>
      </c>
      <c r="D26" s="17">
        <f t="shared" si="9"/>
        <v>0.37328062310827431</v>
      </c>
      <c r="E26" s="17">
        <f t="shared" si="10"/>
        <v>0.83892264990200849</v>
      </c>
      <c r="F26" s="18">
        <f t="shared" si="11"/>
        <v>0.11984609284314407</v>
      </c>
      <c r="G26" s="2">
        <f t="shared" si="12"/>
        <v>52.427118466040362</v>
      </c>
      <c r="H26" s="31">
        <f t="shared" si="6"/>
        <v>7.4895883522914799</v>
      </c>
      <c r="I26">
        <f t="shared" si="13"/>
        <v>0.82470876840224006</v>
      </c>
      <c r="J26" s="29">
        <f t="shared" si="14"/>
        <v>0.94061949415524793</v>
      </c>
      <c r="K26" s="2">
        <f t="shared" si="15"/>
        <v>2.8218584824657436</v>
      </c>
      <c r="S26" s="7">
        <f t="shared" si="16"/>
        <v>1.2314397558062387</v>
      </c>
      <c r="U26" s="7">
        <f t="shared" si="17"/>
        <v>52.450168242868955</v>
      </c>
      <c r="V26" s="9">
        <f t="shared" si="18"/>
        <v>6.9988130452235495</v>
      </c>
    </row>
    <row r="27" spans="1:22" x14ac:dyDescent="0.35">
      <c r="A27" s="11">
        <v>6</v>
      </c>
      <c r="B27" s="16">
        <f t="shared" si="7"/>
        <v>0.49277186050499189</v>
      </c>
      <c r="C27" s="17">
        <f t="shared" si="8"/>
        <v>0.43879974881183181</v>
      </c>
      <c r="D27" s="17">
        <f t="shared" si="9"/>
        <v>0.34248814743811667</v>
      </c>
      <c r="E27" s="17">
        <f t="shared" si="10"/>
        <v>0.76505702659584007</v>
      </c>
      <c r="F27" s="18">
        <f t="shared" si="11"/>
        <v>0.12750950443264</v>
      </c>
      <c r="G27" s="2">
        <f t="shared" si="12"/>
        <v>49.276211488209739</v>
      </c>
      <c r="H27" s="31">
        <f t="shared" si="6"/>
        <v>7.0394587840299625</v>
      </c>
      <c r="I27">
        <f t="shared" si="13"/>
        <v>0.84757998863691464</v>
      </c>
      <c r="J27" s="29">
        <f t="shared" si="14"/>
        <v>0.95705348857559014</v>
      </c>
      <c r="K27" s="2">
        <f t="shared" si="15"/>
        <v>2.8711604657267706</v>
      </c>
      <c r="S27" s="7">
        <f t="shared" si="16"/>
        <v>1.1848857400784605</v>
      </c>
      <c r="U27" s="7">
        <f t="shared" si="17"/>
        <v>49.297209020295547</v>
      </c>
      <c r="V27" s="9">
        <f t="shared" si="18"/>
        <v>5.9993662198755917</v>
      </c>
    </row>
    <row r="28" spans="1:22" x14ac:dyDescent="0.35">
      <c r="A28" s="11">
        <v>5</v>
      </c>
      <c r="B28" s="16">
        <f t="shared" si="7"/>
        <v>0.4106432170874933</v>
      </c>
      <c r="C28" s="17">
        <f t="shared" si="8"/>
        <v>0.34714453789557936</v>
      </c>
      <c r="D28" s="17">
        <f t="shared" si="9"/>
        <v>0.30482491338974893</v>
      </c>
      <c r="E28" s="17">
        <f t="shared" si="10"/>
        <v>0.68807903988547348</v>
      </c>
      <c r="F28" s="18">
        <f t="shared" si="11"/>
        <v>0.13761580797709469</v>
      </c>
      <c r="G28" s="2">
        <f t="shared" si="12"/>
        <v>45.657438629618653</v>
      </c>
      <c r="H28" s="31">
        <f t="shared" si="6"/>
        <v>6.5224912328026647</v>
      </c>
      <c r="I28">
        <f t="shared" si="13"/>
        <v>0.87122099760370153</v>
      </c>
      <c r="J28" s="29">
        <f t="shared" si="14"/>
        <v>0.98067676570486961</v>
      </c>
      <c r="K28" s="2">
        <f t="shared" si="15"/>
        <v>2.9420302971146088</v>
      </c>
      <c r="S28" s="7">
        <f t="shared" si="16"/>
        <v>1.1320905399437018</v>
      </c>
      <c r="U28" s="7">
        <f t="shared" si="17"/>
        <v>45.676765414787091</v>
      </c>
      <c r="V28" s="9">
        <f t="shared" si="18"/>
        <v>4.9996857738410849</v>
      </c>
    </row>
    <row r="29" spans="1:22" x14ac:dyDescent="0.35">
      <c r="A29" s="11">
        <v>4.5</v>
      </c>
      <c r="B29" s="16">
        <f t="shared" si="7"/>
        <v>0.36957889537874389</v>
      </c>
      <c r="C29" s="17">
        <f t="shared" si="8"/>
        <v>0.30459741108362842</v>
      </c>
      <c r="D29" s="17">
        <f t="shared" si="9"/>
        <v>0.28328961274862807</v>
      </c>
      <c r="E29" s="17">
        <f t="shared" si="10"/>
        <v>0.64798007118892209</v>
      </c>
      <c r="F29" s="18">
        <f t="shared" si="11"/>
        <v>0.14399557137531602</v>
      </c>
      <c r="G29" s="2">
        <f t="shared" si="12"/>
        <v>43.634573252276155</v>
      </c>
      <c r="H29" s="31">
        <f t="shared" si="6"/>
        <v>6.2335104646108794</v>
      </c>
      <c r="I29">
        <f t="shared" si="13"/>
        <v>0.88332170758412476</v>
      </c>
      <c r="J29" s="29">
        <f t="shared" si="14"/>
        <v>0.99625518075245045</v>
      </c>
      <c r="K29" s="2">
        <f t="shared" si="15"/>
        <v>2.9887655422573514</v>
      </c>
      <c r="S29" s="7">
        <f t="shared" si="16"/>
        <v>1.1026604271978029</v>
      </c>
      <c r="U29" s="7">
        <f t="shared" si="17"/>
        <v>43.653127006814543</v>
      </c>
      <c r="V29" s="9">
        <f t="shared" si="18"/>
        <v>4.4997869121685046</v>
      </c>
    </row>
    <row r="30" spans="1:22" x14ac:dyDescent="0.35">
      <c r="A30" s="11">
        <v>4.2</v>
      </c>
      <c r="B30" s="16">
        <f t="shared" si="7"/>
        <v>0.34494030235349432</v>
      </c>
      <c r="C30" s="17">
        <f t="shared" si="8"/>
        <v>0.28004578897570037</v>
      </c>
      <c r="D30" s="17">
        <f t="shared" si="9"/>
        <v>0.26947497138326387</v>
      </c>
      <c r="E30" s="17">
        <f t="shared" si="10"/>
        <v>0.62326461761516994</v>
      </c>
      <c r="F30" s="18">
        <f t="shared" si="11"/>
        <v>0.1483963375274214</v>
      </c>
      <c r="G30" s="2">
        <f t="shared" si="12"/>
        <v>42.340568587270887</v>
      </c>
      <c r="H30" s="31">
        <f t="shared" si="6"/>
        <v>6.0486526553244122</v>
      </c>
      <c r="I30">
        <f t="shared" si="13"/>
        <v>0.89066980249188643</v>
      </c>
      <c r="J30" s="29">
        <f t="shared" si="14"/>
        <v>1.0071826964721697</v>
      </c>
      <c r="K30" s="2">
        <f t="shared" si="15"/>
        <v>3.021548089416509</v>
      </c>
      <c r="S30" s="7">
        <f t="shared" si="16"/>
        <v>1.083804582239061</v>
      </c>
      <c r="U30" s="7">
        <f t="shared" si="17"/>
        <v>42.358659522824901</v>
      </c>
      <c r="V30" s="9">
        <f t="shared" si="18"/>
        <v>4.1998337999718114</v>
      </c>
    </row>
    <row r="31" spans="1:22" x14ac:dyDescent="0.35">
      <c r="A31" s="11">
        <v>4.0999999999999996</v>
      </c>
      <c r="B31" s="16">
        <f t="shared" si="7"/>
        <v>0.33672743801174443</v>
      </c>
      <c r="C31" s="17">
        <f t="shared" si="8"/>
        <v>0.27201896575287632</v>
      </c>
      <c r="D31" s="17">
        <f t="shared" si="9"/>
        <v>0.26471888161859586</v>
      </c>
      <c r="E31" s="17">
        <f t="shared" si="10"/>
        <v>0.61490182072307209</v>
      </c>
      <c r="F31" s="18">
        <f t="shared" si="11"/>
        <v>0.14997605383489565</v>
      </c>
      <c r="G31" s="2">
        <f t="shared" si="12"/>
        <v>41.894590146348065</v>
      </c>
      <c r="H31" s="31">
        <f t="shared" si="6"/>
        <v>5.9849414494782947</v>
      </c>
      <c r="I31">
        <f t="shared" si="13"/>
        <v>0.89313361051772377</v>
      </c>
      <c r="J31" s="29">
        <f t="shared" si="14"/>
        <v>1.0111313899308281</v>
      </c>
      <c r="K31" s="2">
        <f t="shared" si="15"/>
        <v>3.0333941697924844</v>
      </c>
      <c r="S31" s="7">
        <f t="shared" si="16"/>
        <v>1.0772949509933276</v>
      </c>
      <c r="U31" s="7">
        <f t="shared" si="17"/>
        <v>41.912525331519078</v>
      </c>
      <c r="V31" s="10">
        <f t="shared" si="18"/>
        <v>4.0998474654468531</v>
      </c>
    </row>
    <row r="32" spans="1:22" x14ac:dyDescent="0.35">
      <c r="A32" s="11">
        <v>4</v>
      </c>
      <c r="B32" s="16">
        <f t="shared" si="7"/>
        <v>0.32851457366999459</v>
      </c>
      <c r="C32" s="17">
        <f t="shared" si="8"/>
        <v>0.26406912872565313</v>
      </c>
      <c r="D32" s="17">
        <f t="shared" si="9"/>
        <v>0.25988655699643598</v>
      </c>
      <c r="E32" s="17">
        <f t="shared" si="10"/>
        <v>0.60647207859060936</v>
      </c>
      <c r="F32" s="18">
        <f t="shared" si="11"/>
        <v>0.15161801964765234</v>
      </c>
      <c r="G32" s="2">
        <f t="shared" si="12"/>
        <v>41.440887579069994</v>
      </c>
      <c r="H32" s="31">
        <f t="shared" si="6"/>
        <v>5.9201267970099991</v>
      </c>
      <c r="I32">
        <f t="shared" si="13"/>
        <v>0.89560459304900619</v>
      </c>
      <c r="J32" s="29">
        <f t="shared" si="14"/>
        <v>1.0152474492797847</v>
      </c>
      <c r="K32" s="2">
        <f t="shared" si="15"/>
        <v>3.0457423478393544</v>
      </c>
      <c r="S32" s="7">
        <f t="shared" si="16"/>
        <v>1.0706651287836308</v>
      </c>
      <c r="U32" s="7">
        <f t="shared" si="17"/>
        <v>41.45866580137313</v>
      </c>
      <c r="V32" s="10">
        <f t="shared" si="18"/>
        <v>3.9998602323314678</v>
      </c>
    </row>
    <row r="33" spans="1:22" x14ac:dyDescent="0.35">
      <c r="A33" s="11">
        <v>3.8</v>
      </c>
      <c r="B33" s="16">
        <f t="shared" si="7"/>
        <v>0.31208884498649486</v>
      </c>
      <c r="C33" s="17">
        <f t="shared" si="8"/>
        <v>0.24839680234173192</v>
      </c>
      <c r="D33" s="17">
        <f t="shared" si="9"/>
        <v>0.24999170488187833</v>
      </c>
      <c r="E33" s="17">
        <f t="shared" si="10"/>
        <v>0.58939897526792728</v>
      </c>
      <c r="F33" s="18">
        <f t="shared" si="11"/>
        <v>0.15510499349155982</v>
      </c>
      <c r="G33" s="2">
        <f t="shared" si="12"/>
        <v>40.509239359347198</v>
      </c>
      <c r="H33" s="31">
        <f t="shared" si="6"/>
        <v>5.787034194192457</v>
      </c>
      <c r="I33">
        <f t="shared" si="13"/>
        <v>0.90056796843423847</v>
      </c>
      <c r="J33" s="29">
        <f t="shared" si="14"/>
        <v>1.0240209965719138</v>
      </c>
      <c r="K33" s="2">
        <f t="shared" si="15"/>
        <v>3.0720629897157412</v>
      </c>
      <c r="S33" s="7">
        <f t="shared" si="16"/>
        <v>1.0570232971196336</v>
      </c>
      <c r="U33" s="7">
        <f t="shared" si="17"/>
        <v>40.526698841456017</v>
      </c>
      <c r="V33" s="10">
        <f t="shared" si="18"/>
        <v>3.7998832552195916</v>
      </c>
    </row>
    <row r="34" spans="1:22" x14ac:dyDescent="0.35">
      <c r="A34" s="11">
        <v>3.5</v>
      </c>
      <c r="B34" s="16">
        <f t="shared" si="7"/>
        <v>0.2874502519612453</v>
      </c>
      <c r="C34" s="17">
        <f t="shared" si="8"/>
        <v>0.22544344522976906</v>
      </c>
      <c r="D34" s="17">
        <f t="shared" si="9"/>
        <v>0.23456835407638801</v>
      </c>
      <c r="E34" s="17">
        <f t="shared" si="10"/>
        <v>0.56320156376644714</v>
      </c>
      <c r="F34" s="18">
        <f t="shared" si="11"/>
        <v>0.16091473250469918</v>
      </c>
      <c r="G34" s="2">
        <f t="shared" si="12"/>
        <v>39.0466752756532</v>
      </c>
      <c r="H34" s="31">
        <f t="shared" si="6"/>
        <v>5.5780964679504574</v>
      </c>
      <c r="I34">
        <f t="shared" si="13"/>
        <v>0.90806613175245898</v>
      </c>
      <c r="J34" s="29">
        <f t="shared" si="14"/>
        <v>1.038705976545542</v>
      </c>
      <c r="K34" s="2">
        <f t="shared" si="15"/>
        <v>3.1161179296366259</v>
      </c>
      <c r="S34" s="7">
        <f t="shared" si="16"/>
        <v>1.0355132762583756</v>
      </c>
      <c r="U34" s="7">
        <f t="shared" si="17"/>
        <v>39.063640002809592</v>
      </c>
      <c r="V34" s="10">
        <f t="shared" si="18"/>
        <v>3.4999121537334625</v>
      </c>
    </row>
    <row r="35" spans="1:22" x14ac:dyDescent="0.35">
      <c r="A35" s="11">
        <v>3.3</v>
      </c>
      <c r="B35" s="16">
        <f t="shared" si="7"/>
        <v>0.27102452327774551</v>
      </c>
      <c r="C35" s="17">
        <f t="shared" si="8"/>
        <v>0.2105012645847566</v>
      </c>
      <c r="D35" s="17">
        <f t="shared" si="9"/>
        <v>0.22389445695516577</v>
      </c>
      <c r="E35" s="17">
        <f t="shared" si="10"/>
        <v>0.54529693669879997</v>
      </c>
      <c r="F35" s="18">
        <f t="shared" si="11"/>
        <v>0.16524149596933332</v>
      </c>
      <c r="G35" s="2">
        <f t="shared" si="12"/>
        <v>38.024258194477156</v>
      </c>
      <c r="H35" s="31">
        <f t="shared" si="6"/>
        <v>5.4320368849253082</v>
      </c>
      <c r="I35">
        <f t="shared" si="13"/>
        <v>0.91309997563513257</v>
      </c>
      <c r="J35" s="29">
        <f t="shared" si="14"/>
        <v>1.0496712235526222</v>
      </c>
      <c r="K35" s="2">
        <f t="shared" si="15"/>
        <v>3.1490136706578666</v>
      </c>
      <c r="S35" s="7">
        <f t="shared" si="16"/>
        <v>1.0203922353866244</v>
      </c>
      <c r="U35" s="7">
        <f t="shared" si="17"/>
        <v>38.040878186069108</v>
      </c>
      <c r="V35" s="10">
        <f t="shared" si="18"/>
        <v>3.2999281182379976</v>
      </c>
    </row>
    <row r="36" spans="1:22" x14ac:dyDescent="0.35">
      <c r="A36" s="11">
        <v>3.1</v>
      </c>
      <c r="B36" s="16">
        <f t="shared" si="7"/>
        <v>0.25459879459424584</v>
      </c>
      <c r="C36" s="17">
        <f t="shared" si="8"/>
        <v>0.19583933710888476</v>
      </c>
      <c r="D36" s="17">
        <f t="shared" si="9"/>
        <v>0.21290384643958563</v>
      </c>
      <c r="E36" s="17">
        <f t="shared" si="10"/>
        <v>0.52699562868056948</v>
      </c>
      <c r="F36" s="18">
        <f t="shared" si="11"/>
        <v>0.1699985898969579</v>
      </c>
      <c r="G36" s="2">
        <f t="shared" si="12"/>
        <v>36.960220146461481</v>
      </c>
      <c r="H36" s="31">
        <f t="shared" si="6"/>
        <v>5.2800314494944969</v>
      </c>
      <c r="I36">
        <f t="shared" si="13"/>
        <v>0.91816160812399272</v>
      </c>
      <c r="J36" s="29">
        <f t="shared" si="14"/>
        <v>1.0617331450698193</v>
      </c>
      <c r="K36" s="2">
        <f t="shared" si="15"/>
        <v>3.1851994352094577</v>
      </c>
      <c r="S36" s="7">
        <f t="shared" si="16"/>
        <v>1.0045674075831152</v>
      </c>
      <c r="U36" s="7">
        <f t="shared" si="17"/>
        <v>36.976480189409372</v>
      </c>
      <c r="V36" s="10">
        <f t="shared" si="18"/>
        <v>3.0999417712851454</v>
      </c>
    </row>
    <row r="37" spans="1:22" x14ac:dyDescent="0.35">
      <c r="A37" s="11">
        <v>3</v>
      </c>
      <c r="B37" s="16">
        <f t="shared" si="7"/>
        <v>0.24638593025249594</v>
      </c>
      <c r="C37" s="17">
        <f t="shared" si="8"/>
        <v>0.18861143478128575</v>
      </c>
      <c r="D37" s="17">
        <f t="shared" si="9"/>
        <v>0.20728887762873741</v>
      </c>
      <c r="E37" s="17">
        <f t="shared" si="10"/>
        <v>0.51768224255340767</v>
      </c>
      <c r="F37" s="18">
        <f t="shared" si="11"/>
        <v>0.17256074751780257</v>
      </c>
      <c r="G37" s="2">
        <f t="shared" si="12"/>
        <v>36.411440014951076</v>
      </c>
      <c r="H37" s="31">
        <f t="shared" si="6"/>
        <v>5.2016342878501538</v>
      </c>
      <c r="I37">
        <f t="shared" si="13"/>
        <v>0.92070277371709464</v>
      </c>
      <c r="J37" s="29">
        <f t="shared" si="14"/>
        <v>1.0682262228004125</v>
      </c>
      <c r="K37" s="2">
        <f t="shared" si="15"/>
        <v>3.2046786684012374</v>
      </c>
      <c r="S37" s="7">
        <f t="shared" si="16"/>
        <v>0.99636617131722205</v>
      </c>
      <c r="U37" s="7">
        <f t="shared" si="17"/>
        <v>36.427513419862244</v>
      </c>
      <c r="V37" s="10">
        <f t="shared" si="18"/>
        <v>2.9999478115602618</v>
      </c>
    </row>
    <row r="38" spans="1:22" x14ac:dyDescent="0.35">
      <c r="A38" s="11">
        <v>2</v>
      </c>
      <c r="B38" s="16">
        <f t="shared" si="7"/>
        <v>0.1642572868349973</v>
      </c>
      <c r="C38" s="17">
        <f t="shared" si="8"/>
        <v>0.11992665169174668</v>
      </c>
      <c r="D38" s="17">
        <f t="shared" si="9"/>
        <v>0.14666789703314262</v>
      </c>
      <c r="E38" s="17">
        <f t="shared" si="10"/>
        <v>0.41671135491073097</v>
      </c>
      <c r="F38" s="18">
        <f t="shared" si="11"/>
        <v>0.20835567745536548</v>
      </c>
      <c r="G38" s="2">
        <f t="shared" si="12"/>
        <v>30.156055183692256</v>
      </c>
      <c r="H38" s="31">
        <f t="shared" si="6"/>
        <v>4.308007883384608</v>
      </c>
      <c r="I38">
        <f t="shared" si="13"/>
        <v>0.94648709103577278</v>
      </c>
      <c r="J38" s="29">
        <f t="shared" si="14"/>
        <v>1.1576930087179753</v>
      </c>
      <c r="K38" s="2">
        <f t="shared" si="15"/>
        <v>3.4730790261539259</v>
      </c>
      <c r="S38" s="7">
        <f t="shared" si="16"/>
        <v>0.90031846873131172</v>
      </c>
      <c r="U38" s="7">
        <f t="shared" si="17"/>
        <v>30.169904240362438</v>
      </c>
      <c r="V38" s="10">
        <f t="shared" si="18"/>
        <v>1.9999858896734399</v>
      </c>
    </row>
    <row r="39" spans="1:22" ht="15" thickBot="1" x14ac:dyDescent="0.4">
      <c r="A39" s="11">
        <v>1</v>
      </c>
      <c r="B39" s="19">
        <f t="shared" si="7"/>
        <v>8.2128643417498648E-2</v>
      </c>
      <c r="C39" s="20">
        <f t="shared" si="8"/>
        <v>5.7273201059023747E-2</v>
      </c>
      <c r="D39" s="20">
        <f t="shared" si="9"/>
        <v>7.7679679514466096E-2</v>
      </c>
      <c r="E39" s="20">
        <f t="shared" si="10"/>
        <v>0.29055944931126354</v>
      </c>
      <c r="F39" s="21">
        <f t="shared" si="11"/>
        <v>0.29055944931126354</v>
      </c>
      <c r="G39" s="2">
        <f t="shared" si="12"/>
        <v>21.624439756040033</v>
      </c>
      <c r="H39" s="31">
        <f t="shared" si="6"/>
        <v>3.0892056794342904</v>
      </c>
      <c r="I39">
        <f t="shared" si="13"/>
        <v>0.9729289723069674</v>
      </c>
      <c r="J39" s="29">
        <f t="shared" si="14"/>
        <v>1.348404549747984</v>
      </c>
      <c r="K39" s="2">
        <f t="shared" si="15"/>
        <v>4.0452136492439514</v>
      </c>
      <c r="S39" s="7">
        <f t="shared" si="16"/>
        <v>0.7570745729428735</v>
      </c>
      <c r="U39" s="7">
        <f t="shared" si="17"/>
        <v>21.634850242590257</v>
      </c>
      <c r="V39" s="10">
        <f t="shared" si="18"/>
        <v>0.99999824321056774</v>
      </c>
    </row>
    <row r="44" spans="1:22" x14ac:dyDescent="0.35">
      <c r="B44" s="11" t="s">
        <v>0</v>
      </c>
      <c r="C44" s="11">
        <v>6</v>
      </c>
    </row>
    <row r="45" spans="1:22" x14ac:dyDescent="0.35">
      <c r="A45" t="s">
        <v>3</v>
      </c>
      <c r="B45">
        <v>0.66700000000000004</v>
      </c>
    </row>
    <row r="46" spans="1:22" x14ac:dyDescent="0.35">
      <c r="A46" t="s">
        <v>4</v>
      </c>
      <c r="B46">
        <v>0.35599999999999998</v>
      </c>
    </row>
    <row r="47" spans="1:22" x14ac:dyDescent="0.35">
      <c r="A47" t="s">
        <v>5</v>
      </c>
      <c r="B47">
        <v>0.161</v>
      </c>
    </row>
    <row r="48" spans="1:22" x14ac:dyDescent="0.35">
      <c r="A48" t="s">
        <v>6</v>
      </c>
      <c r="B48">
        <v>6.3E-2</v>
      </c>
    </row>
    <row r="49" spans="1:22" x14ac:dyDescent="0.35">
      <c r="A49" t="s">
        <v>7</v>
      </c>
      <c r="B49">
        <v>2.1000000000000001E-2</v>
      </c>
    </row>
    <row r="50" spans="1:22" x14ac:dyDescent="0.35">
      <c r="A50" t="s">
        <v>8</v>
      </c>
      <c r="B50">
        <v>6.0000000000000001E-3</v>
      </c>
    </row>
    <row r="54" spans="1:22" x14ac:dyDescent="0.35">
      <c r="A54" s="11" t="s">
        <v>1</v>
      </c>
      <c r="B54" s="1" t="s">
        <v>2</v>
      </c>
      <c r="C54" t="s">
        <v>9</v>
      </c>
      <c r="D54" t="s">
        <v>10</v>
      </c>
      <c r="E54" t="s">
        <v>11</v>
      </c>
      <c r="F54" t="s">
        <v>12</v>
      </c>
      <c r="G54" t="s">
        <v>13</v>
      </c>
      <c r="H54" t="s">
        <v>14</v>
      </c>
    </row>
    <row r="55" spans="1:22" x14ac:dyDescent="0.35">
      <c r="A55" s="11">
        <v>100</v>
      </c>
      <c r="B55">
        <f t="shared" ref="B55:B73" si="19">(((2*PI()/$C$44)^2*A55)/9.81)</f>
        <v>11.178620909603984</v>
      </c>
      <c r="C55">
        <f t="shared" ref="C55:C73" si="20">$B$3*(B55^1)+$B$4*(B55^2)+$B$5*(B55^3)+$B$6*(B55^4)+$B$7*(B55^5)+$B$8*(B55^6)</f>
        <v>16634.286077226701</v>
      </c>
      <c r="D55">
        <f t="shared" ref="D55:D73" si="21">B55/(1+C55)</f>
        <v>6.7198248696830293E-4</v>
      </c>
      <c r="E55">
        <f t="shared" ref="E55:E73" si="22">SQRT((B55^2)+D55)</f>
        <v>11.178650966155191</v>
      </c>
      <c r="F55">
        <f t="shared" ref="F55:F73" si="23">E55/A55</f>
        <v>0.1117865096615519</v>
      </c>
      <c r="G55">
        <f t="shared" ref="G55:G73" si="24">2*PI()/F55</f>
        <v>56.207008575567315</v>
      </c>
      <c r="H55">
        <f t="shared" ref="H55:H73" si="25">G55/$C$44</f>
        <v>9.3678347625945531</v>
      </c>
      <c r="U55" s="7" t="s">
        <v>61</v>
      </c>
      <c r="V55" s="9" t="s">
        <v>65</v>
      </c>
    </row>
    <row r="56" spans="1:22" x14ac:dyDescent="0.35">
      <c r="A56" s="11">
        <v>90</v>
      </c>
      <c r="B56">
        <f t="shared" si="19"/>
        <v>10.060758818643583</v>
      </c>
      <c r="C56">
        <f t="shared" si="20"/>
        <v>9238.806276909223</v>
      </c>
      <c r="D56">
        <f t="shared" si="21"/>
        <v>1.0888495404699084E-3</v>
      </c>
      <c r="E56">
        <f t="shared" si="22"/>
        <v>10.060812932186696</v>
      </c>
      <c r="F56">
        <f t="shared" si="23"/>
        <v>0.11178681035762995</v>
      </c>
      <c r="G56">
        <f t="shared" si="24"/>
        <v>56.206857383964447</v>
      </c>
      <c r="H56">
        <f t="shared" si="25"/>
        <v>9.3678095639940739</v>
      </c>
      <c r="U56" s="7" t="s">
        <v>62</v>
      </c>
      <c r="V56" s="9" t="s">
        <v>66</v>
      </c>
    </row>
    <row r="57" spans="1:22" x14ac:dyDescent="0.35">
      <c r="A57" s="11">
        <v>80</v>
      </c>
      <c r="B57">
        <f t="shared" si="19"/>
        <v>8.9428967276831859</v>
      </c>
      <c r="C57">
        <f t="shared" si="20"/>
        <v>4822.8908119293146</v>
      </c>
      <c r="D57">
        <f t="shared" si="21"/>
        <v>1.8538762746386616E-3</v>
      </c>
      <c r="E57">
        <f t="shared" si="22"/>
        <v>8.9430003778531333</v>
      </c>
      <c r="F57">
        <f t="shared" si="23"/>
        <v>0.11178750472316416</v>
      </c>
      <c r="G57">
        <f t="shared" si="24"/>
        <v>56.206508256352642</v>
      </c>
      <c r="H57">
        <f t="shared" si="25"/>
        <v>9.3677513760587736</v>
      </c>
      <c r="U57" s="7">
        <f t="shared" ref="U57:U73" si="26">9.81/6.28*$C$44^2*TANH(E57)</f>
        <v>56.235666870033526</v>
      </c>
      <c r="V57" s="9">
        <f t="shared" ref="V57:V73" si="27">ATANH(G57*6.28/(9.81*$C$44^2))/(6.28/G57)</f>
        <v>36.952101525841321</v>
      </c>
    </row>
    <row r="58" spans="1:22" x14ac:dyDescent="0.35">
      <c r="A58" s="11">
        <v>70</v>
      </c>
      <c r="B58">
        <f t="shared" si="19"/>
        <v>7.8250346367227879</v>
      </c>
      <c r="C58">
        <f t="shared" si="20"/>
        <v>2333.8886535398042</v>
      </c>
      <c r="D58">
        <f t="shared" si="21"/>
        <v>3.3513523759943144E-3</v>
      </c>
      <c r="E58">
        <f t="shared" si="22"/>
        <v>7.8252487767666103</v>
      </c>
      <c r="F58">
        <f t="shared" si="23"/>
        <v>0.11178926823952301</v>
      </c>
      <c r="G58">
        <f t="shared" si="24"/>
        <v>56.205621578245299</v>
      </c>
      <c r="H58">
        <f t="shared" si="25"/>
        <v>9.3676035963742166</v>
      </c>
      <c r="U58" s="7">
        <f t="shared" si="26"/>
        <v>56.235650837634289</v>
      </c>
      <c r="V58" s="9">
        <f t="shared" si="27"/>
        <v>36.817441568260449</v>
      </c>
    </row>
    <row r="59" spans="1:22" x14ac:dyDescent="0.35">
      <c r="A59" s="11">
        <v>60</v>
      </c>
      <c r="B59">
        <f t="shared" si="19"/>
        <v>6.7071725457623899</v>
      </c>
      <c r="C59">
        <f t="shared" si="20"/>
        <v>1027.8567993170327</v>
      </c>
      <c r="D59">
        <f t="shared" si="21"/>
        <v>6.519053526413676E-3</v>
      </c>
      <c r="E59">
        <f t="shared" si="22"/>
        <v>6.7076585044376813</v>
      </c>
      <c r="F59">
        <f t="shared" si="23"/>
        <v>0.11179430840729469</v>
      </c>
      <c r="G59">
        <f t="shared" si="24"/>
        <v>56.203087587324809</v>
      </c>
      <c r="H59">
        <f t="shared" si="25"/>
        <v>9.3671812645541355</v>
      </c>
      <c r="U59" s="7">
        <f t="shared" si="26"/>
        <v>56.235500970061878</v>
      </c>
      <c r="V59" s="9">
        <f t="shared" si="27"/>
        <v>36.453378335588525</v>
      </c>
    </row>
    <row r="60" spans="1:22" x14ac:dyDescent="0.35">
      <c r="A60" s="11">
        <v>50</v>
      </c>
      <c r="B60">
        <f t="shared" si="19"/>
        <v>5.5893104548019918</v>
      </c>
      <c r="C60">
        <f t="shared" si="20"/>
        <v>401.93850206805496</v>
      </c>
      <c r="D60">
        <f t="shared" si="21"/>
        <v>1.3871373487803297E-2</v>
      </c>
      <c r="E60">
        <f t="shared" si="22"/>
        <v>5.5905512012364804</v>
      </c>
      <c r="F60">
        <f t="shared" si="23"/>
        <v>0.1118110240247296</v>
      </c>
      <c r="G60">
        <f t="shared" si="24"/>
        <v>56.194685291406635</v>
      </c>
      <c r="H60">
        <f t="shared" si="25"/>
        <v>9.3657808819011059</v>
      </c>
      <c r="U60" s="7">
        <f t="shared" si="26"/>
        <v>56.234101516515501</v>
      </c>
      <c r="V60" s="9">
        <f t="shared" si="27"/>
        <v>35.421083797923465</v>
      </c>
    </row>
    <row r="61" spans="1:22" x14ac:dyDescent="0.35">
      <c r="A61" s="11">
        <v>40</v>
      </c>
      <c r="B61">
        <f t="shared" si="19"/>
        <v>4.4714483638415929</v>
      </c>
      <c r="C61">
        <f t="shared" si="20"/>
        <v>135.17121813245836</v>
      </c>
      <c r="D61">
        <f t="shared" si="21"/>
        <v>3.2836956481450165E-2</v>
      </c>
      <c r="E61">
        <f t="shared" si="22"/>
        <v>4.4751187053510781</v>
      </c>
      <c r="F61">
        <f t="shared" si="23"/>
        <v>0.11187796763377696</v>
      </c>
      <c r="G61">
        <f t="shared" si="24"/>
        <v>56.161060484643954</v>
      </c>
      <c r="H61">
        <f t="shared" si="25"/>
        <v>9.3601767474406596</v>
      </c>
      <c r="U61" s="7">
        <f t="shared" si="26"/>
        <v>56.221082433645364</v>
      </c>
      <c r="V61" s="9">
        <f t="shared" si="27"/>
        <v>32.719801777069108</v>
      </c>
    </row>
    <row r="62" spans="1:22" x14ac:dyDescent="0.35">
      <c r="A62" s="11">
        <v>30</v>
      </c>
      <c r="B62">
        <f t="shared" si="19"/>
        <v>3.3535862728811949</v>
      </c>
      <c r="C62">
        <f t="shared" si="20"/>
        <v>37.724275078750992</v>
      </c>
      <c r="D62">
        <f t="shared" si="21"/>
        <v>8.6601654028673966E-2</v>
      </c>
      <c r="E62">
        <f t="shared" si="22"/>
        <v>3.3664733095163339</v>
      </c>
      <c r="F62">
        <f t="shared" si="23"/>
        <v>0.1122157769838778</v>
      </c>
      <c r="G62">
        <f t="shared" si="24"/>
        <v>55.991995743007692</v>
      </c>
      <c r="H62">
        <f t="shared" si="25"/>
        <v>9.3319992905012814</v>
      </c>
      <c r="U62" s="7">
        <f t="shared" si="26"/>
        <v>56.101872721495873</v>
      </c>
      <c r="V62" s="9">
        <f t="shared" si="27"/>
        <v>27.338258879047817</v>
      </c>
    </row>
    <row r="63" spans="1:22" x14ac:dyDescent="0.35">
      <c r="A63" s="11">
        <v>20</v>
      </c>
      <c r="B63">
        <f t="shared" si="19"/>
        <v>2.2357241819207965</v>
      </c>
      <c r="C63">
        <f t="shared" si="20"/>
        <v>8.5662587953202642</v>
      </c>
      <c r="D63">
        <f t="shared" si="21"/>
        <v>0.23370935595161763</v>
      </c>
      <c r="E63">
        <f t="shared" si="22"/>
        <v>2.2873941447807007</v>
      </c>
      <c r="F63">
        <f t="shared" si="23"/>
        <v>0.11436970723903503</v>
      </c>
      <c r="G63">
        <f t="shared" si="24"/>
        <v>54.937495765793997</v>
      </c>
      <c r="H63">
        <f t="shared" si="25"/>
        <v>9.1562492942990001</v>
      </c>
      <c r="U63" s="7">
        <f t="shared" si="26"/>
        <v>55.088089898434077</v>
      </c>
      <c r="V63" s="9">
        <f t="shared" si="27"/>
        <v>19.464893263609078</v>
      </c>
    </row>
    <row r="64" spans="1:22" x14ac:dyDescent="0.35">
      <c r="A64" s="11">
        <v>10</v>
      </c>
      <c r="B64">
        <f t="shared" si="19"/>
        <v>1.1178620909603982</v>
      </c>
      <c r="C64">
        <f t="shared" si="20"/>
        <v>1.5621199759652002</v>
      </c>
      <c r="D64">
        <f t="shared" si="21"/>
        <v>0.4363035694842034</v>
      </c>
      <c r="E64">
        <f t="shared" si="22"/>
        <v>1.2984295221114457</v>
      </c>
      <c r="F64">
        <f t="shared" si="23"/>
        <v>0.12984295221114456</v>
      </c>
      <c r="G64">
        <f t="shared" si="24"/>
        <v>48.39065347930601</v>
      </c>
      <c r="H64">
        <f t="shared" si="25"/>
        <v>8.065108913217669</v>
      </c>
      <c r="U64" s="7">
        <f t="shared" si="26"/>
        <v>48.436811688795316</v>
      </c>
      <c r="V64" s="9">
        <f t="shared" si="27"/>
        <v>9.9806371185608729</v>
      </c>
    </row>
    <row r="65" spans="1:22" x14ac:dyDescent="0.35">
      <c r="A65" s="11">
        <v>9</v>
      </c>
      <c r="B65">
        <f t="shared" si="19"/>
        <v>1.0060758818643585</v>
      </c>
      <c r="C65">
        <f t="shared" si="20"/>
        <v>1.2877572826990364</v>
      </c>
      <c r="D65">
        <f t="shared" si="21"/>
        <v>0.43976513132434059</v>
      </c>
      <c r="E65">
        <f t="shared" si="22"/>
        <v>1.2049704607970633</v>
      </c>
      <c r="F65">
        <f t="shared" si="23"/>
        <v>0.13388560675522926</v>
      </c>
      <c r="G65">
        <f t="shared" si="24"/>
        <v>46.929505414772152</v>
      </c>
      <c r="H65">
        <f t="shared" si="25"/>
        <v>7.8215842357953589</v>
      </c>
      <c r="U65" s="7">
        <f t="shared" si="26"/>
        <v>46.966030177415391</v>
      </c>
      <c r="V65" s="9">
        <f t="shared" si="27"/>
        <v>8.9885487651443157</v>
      </c>
    </row>
    <row r="66" spans="1:22" x14ac:dyDescent="0.35">
      <c r="A66" s="11">
        <v>8</v>
      </c>
      <c r="B66">
        <f t="shared" si="19"/>
        <v>0.89428967276831861</v>
      </c>
      <c r="C66">
        <f t="shared" si="20"/>
        <v>1.051728974902036</v>
      </c>
      <c r="D66">
        <f t="shared" si="21"/>
        <v>0.43587124991058734</v>
      </c>
      <c r="E66">
        <f t="shared" si="22"/>
        <v>1.1115868246478338</v>
      </c>
      <c r="F66">
        <f t="shared" si="23"/>
        <v>0.13894835308097922</v>
      </c>
      <c r="G66">
        <f t="shared" si="24"/>
        <v>45.219573804647688</v>
      </c>
      <c r="H66">
        <f t="shared" si="25"/>
        <v>7.5365956341079476</v>
      </c>
      <c r="U66" s="7">
        <f t="shared" si="26"/>
        <v>45.248489627907496</v>
      </c>
      <c r="V66" s="9">
        <f t="shared" si="27"/>
        <v>7.993569037492704</v>
      </c>
    </row>
    <row r="67" spans="1:22" x14ac:dyDescent="0.35">
      <c r="A67" s="11">
        <v>7</v>
      </c>
      <c r="B67">
        <f t="shared" si="19"/>
        <v>0.78250346367227874</v>
      </c>
      <c r="C67">
        <f t="shared" si="20"/>
        <v>0.84821239295147843</v>
      </c>
      <c r="D67">
        <f t="shared" si="21"/>
        <v>0.42338395016531088</v>
      </c>
      <c r="E67">
        <f t="shared" si="22"/>
        <v>1.0176913190277415</v>
      </c>
      <c r="F67">
        <f t="shared" si="23"/>
        <v>0.14538447414682021</v>
      </c>
      <c r="G67">
        <f t="shared" si="24"/>
        <v>43.217718701065365</v>
      </c>
      <c r="H67">
        <f t="shared" si="25"/>
        <v>7.2029531168442276</v>
      </c>
      <c r="U67" s="7">
        <f t="shared" si="26"/>
        <v>43.240984899755539</v>
      </c>
      <c r="V67" s="9">
        <f t="shared" si="27"/>
        <v>6.9965904111913275</v>
      </c>
    </row>
    <row r="68" spans="1:22" x14ac:dyDescent="0.35">
      <c r="A68" s="11">
        <v>6</v>
      </c>
      <c r="B68">
        <f t="shared" si="19"/>
        <v>0.67071725457623899</v>
      </c>
      <c r="C68">
        <f t="shared" si="20"/>
        <v>0.67224404798888027</v>
      </c>
      <c r="D68">
        <f t="shared" si="21"/>
        <v>0.40108813984590064</v>
      </c>
      <c r="E68">
        <f t="shared" si="22"/>
        <v>0.9224693899703057</v>
      </c>
      <c r="F68">
        <f t="shared" si="23"/>
        <v>0.15374489832838428</v>
      </c>
      <c r="G68">
        <f t="shared" si="24"/>
        <v>40.867601952939658</v>
      </c>
      <c r="H68">
        <f t="shared" si="25"/>
        <v>6.81126699215661</v>
      </c>
      <c r="U68" s="7">
        <f t="shared" si="26"/>
        <v>40.886903512542233</v>
      </c>
      <c r="V68" s="7">
        <f t="shared" si="27"/>
        <v>5.9983074104969543</v>
      </c>
    </row>
    <row r="69" spans="1:22" x14ac:dyDescent="0.35">
      <c r="A69" s="11">
        <v>5</v>
      </c>
      <c r="B69">
        <f t="shared" si="19"/>
        <v>0.55893104548019912</v>
      </c>
      <c r="C69">
        <f t="shared" si="20"/>
        <v>0.5196124102682006</v>
      </c>
      <c r="D69">
        <f t="shared" si="21"/>
        <v>0.36781158254791546</v>
      </c>
      <c r="E69">
        <f t="shared" si="22"/>
        <v>0.82475177850642067</v>
      </c>
      <c r="F69">
        <f t="shared" si="23"/>
        <v>0.16495035570128413</v>
      </c>
      <c r="G69">
        <f t="shared" si="24"/>
        <v>38.091371676445995</v>
      </c>
      <c r="H69">
        <f t="shared" si="25"/>
        <v>6.3485619460743328</v>
      </c>
      <c r="U69" s="7">
        <f t="shared" si="26"/>
        <v>38.107982123505373</v>
      </c>
      <c r="V69" s="7">
        <f t="shared" si="27"/>
        <v>4.9992244226681288</v>
      </c>
    </row>
    <row r="70" spans="1:22" x14ac:dyDescent="0.35">
      <c r="A70" s="11">
        <v>4</v>
      </c>
      <c r="B70">
        <f t="shared" si="19"/>
        <v>0.44714483638415931</v>
      </c>
      <c r="C70">
        <f t="shared" si="20"/>
        <v>0.38675912722344263</v>
      </c>
      <c r="D70">
        <f t="shared" si="21"/>
        <v>0.32243871888510944</v>
      </c>
      <c r="E70">
        <f t="shared" si="22"/>
        <v>0.72275668353196576</v>
      </c>
      <c r="F70">
        <f t="shared" si="23"/>
        <v>0.18068917088299144</v>
      </c>
      <c r="G70">
        <f t="shared" si="24"/>
        <v>34.773447000032874</v>
      </c>
      <c r="H70">
        <f t="shared" si="25"/>
        <v>5.795574500005479</v>
      </c>
      <c r="U70" s="7">
        <f t="shared" si="26"/>
        <v>34.788169343360096</v>
      </c>
      <c r="V70" s="7">
        <f t="shared" si="27"/>
        <v>3.9996812196965701</v>
      </c>
    </row>
    <row r="71" spans="1:22" x14ac:dyDescent="0.35">
      <c r="A71" s="11">
        <v>3</v>
      </c>
      <c r="B71">
        <f t="shared" si="19"/>
        <v>0.33535862728811949</v>
      </c>
      <c r="C71">
        <f t="shared" si="20"/>
        <v>0.27068867125564838</v>
      </c>
      <c r="D71">
        <f t="shared" si="21"/>
        <v>0.26391879842348032</v>
      </c>
      <c r="E71">
        <f t="shared" si="22"/>
        <v>0.61350159520579262</v>
      </c>
      <c r="F71">
        <f t="shared" si="23"/>
        <v>0.2045005317352642</v>
      </c>
      <c r="G71">
        <f t="shared" si="24"/>
        <v>30.724542639886497</v>
      </c>
      <c r="H71">
        <f t="shared" si="25"/>
        <v>5.1207571066477495</v>
      </c>
      <c r="U71" s="7">
        <f t="shared" si="26"/>
        <v>30.73770035829202</v>
      </c>
      <c r="V71" s="7">
        <f t="shared" si="27"/>
        <v>2.9998895419898362</v>
      </c>
    </row>
    <row r="72" spans="1:22" x14ac:dyDescent="0.35">
      <c r="A72" s="11">
        <v>2</v>
      </c>
      <c r="B72">
        <f t="shared" si="19"/>
        <v>0.22357241819207965</v>
      </c>
      <c r="C72">
        <f t="shared" si="20"/>
        <v>0.16888641723928857</v>
      </c>
      <c r="D72">
        <f t="shared" si="21"/>
        <v>0.19126958350677031</v>
      </c>
      <c r="E72">
        <f t="shared" si="22"/>
        <v>0.49117635293550571</v>
      </c>
      <c r="F72">
        <f t="shared" si="23"/>
        <v>0.24558817646775286</v>
      </c>
      <c r="G72">
        <f t="shared" si="24"/>
        <v>25.584233726352068</v>
      </c>
      <c r="H72">
        <f t="shared" si="25"/>
        <v>4.264038954392011</v>
      </c>
      <c r="U72" s="7">
        <f t="shared" si="26"/>
        <v>25.595641603687557</v>
      </c>
      <c r="V72" s="7">
        <f t="shared" si="27"/>
        <v>1.9999721829794042</v>
      </c>
    </row>
    <row r="73" spans="1:22" x14ac:dyDescent="0.35">
      <c r="A73" s="11">
        <v>1</v>
      </c>
      <c r="B73">
        <f t="shared" si="19"/>
        <v>0.11178620909603983</v>
      </c>
      <c r="C73">
        <f t="shared" si="20"/>
        <v>7.9245149748047181E-2</v>
      </c>
      <c r="D73">
        <f t="shared" si="21"/>
        <v>0.10357814359613907</v>
      </c>
      <c r="E73">
        <f t="shared" si="22"/>
        <v>0.34069678621936339</v>
      </c>
      <c r="F73">
        <f t="shared" si="23"/>
        <v>0.34069678621936339</v>
      </c>
      <c r="G73">
        <f t="shared" si="24"/>
        <v>18.442161949640614</v>
      </c>
      <c r="H73">
        <f t="shared" si="25"/>
        <v>3.0736936582734358</v>
      </c>
      <c r="U73" s="7">
        <f t="shared" si="26"/>
        <v>18.450884389173169</v>
      </c>
      <c r="V73" s="7">
        <f t="shared" si="27"/>
        <v>0.99999680602662322</v>
      </c>
    </row>
    <row r="79" spans="1:22" x14ac:dyDescent="0.35">
      <c r="B79" s="11" t="s">
        <v>0</v>
      </c>
      <c r="C79" s="11">
        <v>10</v>
      </c>
    </row>
    <row r="80" spans="1:22" x14ac:dyDescent="0.35">
      <c r="A80" t="s">
        <v>3</v>
      </c>
      <c r="B80">
        <v>0.66700000000000004</v>
      </c>
    </row>
    <row r="81" spans="1:22" x14ac:dyDescent="0.35">
      <c r="A81" t="s">
        <v>4</v>
      </c>
      <c r="B81">
        <v>0.35599999999999998</v>
      </c>
    </row>
    <row r="82" spans="1:22" x14ac:dyDescent="0.35">
      <c r="A82" t="s">
        <v>5</v>
      </c>
      <c r="B82">
        <v>0.161</v>
      </c>
    </row>
    <row r="83" spans="1:22" x14ac:dyDescent="0.35">
      <c r="A83" t="s">
        <v>6</v>
      </c>
      <c r="B83">
        <v>6.3E-2</v>
      </c>
    </row>
    <row r="84" spans="1:22" x14ac:dyDescent="0.35">
      <c r="A84" t="s">
        <v>7</v>
      </c>
      <c r="B84">
        <v>2.1000000000000001E-2</v>
      </c>
    </row>
    <row r="85" spans="1:22" x14ac:dyDescent="0.35">
      <c r="A85" t="s">
        <v>8</v>
      </c>
      <c r="B85">
        <v>6.0000000000000001E-3</v>
      </c>
    </row>
    <row r="89" spans="1:22" x14ac:dyDescent="0.35">
      <c r="A89" s="11" t="s">
        <v>1</v>
      </c>
      <c r="B89" s="1" t="s">
        <v>2</v>
      </c>
      <c r="C89" t="s">
        <v>9</v>
      </c>
      <c r="D89" t="s">
        <v>10</v>
      </c>
      <c r="E89" t="s">
        <v>11</v>
      </c>
      <c r="F89" t="s">
        <v>12</v>
      </c>
      <c r="G89" t="s">
        <v>13</v>
      </c>
      <c r="H89" t="s">
        <v>14</v>
      </c>
      <c r="I89" t="s">
        <v>89</v>
      </c>
    </row>
    <row r="90" spans="1:22" x14ac:dyDescent="0.35">
      <c r="A90" s="11">
        <v>100</v>
      </c>
      <c r="B90">
        <f t="shared" ref="B90:B108" si="28">(((2*PI()/$C$79)^2*A90)/9.81)</f>
        <v>4.0243035274574339</v>
      </c>
      <c r="C90">
        <f t="shared" ref="C90:C108" si="29">$B$3*(B90^1)+$B$4*(B90^2)+$B$5*(B90^3)+$B$6*(B90^4)+$B$7*(B90^5)+$B$8*(B90^6)</f>
        <v>83.117062922093609</v>
      </c>
      <c r="D90">
        <f t="shared" ref="D90:D108" si="30">B90/(1+C90)</f>
        <v>4.7841702832451587E-2</v>
      </c>
      <c r="E90">
        <f t="shared" ref="E90:E108" si="31">SQRT((B90^2)+D90)</f>
        <v>4.0302432412869074</v>
      </c>
      <c r="F90">
        <f t="shared" ref="F90:F108" si="32">E90/A90</f>
        <v>4.0302432412869071E-2</v>
      </c>
      <c r="G90">
        <f t="shared" ref="G90:G108" si="33">2*PI()/F90</f>
        <v>155.90089557902928</v>
      </c>
      <c r="H90">
        <f t="shared" ref="H90:H108" si="34">G90/$C$79</f>
        <v>15.590089557902928</v>
      </c>
      <c r="U90" s="7" t="s">
        <v>61</v>
      </c>
      <c r="V90" s="7" t="s">
        <v>65</v>
      </c>
    </row>
    <row r="91" spans="1:22" x14ac:dyDescent="0.35">
      <c r="A91" s="11">
        <v>90</v>
      </c>
      <c r="B91">
        <f t="shared" si="28"/>
        <v>3.6218731747116908</v>
      </c>
      <c r="C91">
        <f t="shared" si="29"/>
        <v>52.208741871125504</v>
      </c>
      <c r="D91">
        <f t="shared" si="30"/>
        <v>6.8069137651930706E-2</v>
      </c>
      <c r="E91">
        <f t="shared" si="31"/>
        <v>3.631257968163109</v>
      </c>
      <c r="F91">
        <f t="shared" si="32"/>
        <v>4.0347310757367874E-2</v>
      </c>
      <c r="G91">
        <f t="shared" si="33"/>
        <v>155.72748689408513</v>
      </c>
      <c r="H91">
        <f t="shared" si="34"/>
        <v>15.572748689408513</v>
      </c>
      <c r="U91" s="7" t="s">
        <v>62</v>
      </c>
      <c r="V91" s="7" t="s">
        <v>66</v>
      </c>
    </row>
    <row r="92" spans="1:22" x14ac:dyDescent="0.35">
      <c r="A92" s="11">
        <v>80</v>
      </c>
      <c r="B92">
        <f t="shared" si="28"/>
        <v>3.2194428219659472</v>
      </c>
      <c r="C92">
        <f t="shared" si="29"/>
        <v>31.921708461194129</v>
      </c>
      <c r="D92">
        <f t="shared" si="30"/>
        <v>9.7790879405933853E-2</v>
      </c>
      <c r="E92">
        <f t="shared" si="31"/>
        <v>3.2345947139191944</v>
      </c>
      <c r="F92">
        <f t="shared" si="32"/>
        <v>4.043243392398993E-2</v>
      </c>
      <c r="G92">
        <f t="shared" si="33"/>
        <v>155.39963087533943</v>
      </c>
      <c r="H92">
        <f t="shared" si="34"/>
        <v>15.539963087533943</v>
      </c>
      <c r="U92" s="7">
        <f t="shared" ref="U92:U108" si="35">9.81/6.28*$C$79^2*TANH(E92)</f>
        <v>155.72653879759184</v>
      </c>
      <c r="V92" s="9">
        <f t="shared" ref="V92:V108" si="36">ATANH(G92*6.28/(9.81*$C$79^2))/(6.28/G92)</f>
        <v>73.638904993276668</v>
      </c>
    </row>
    <row r="93" spans="1:22" x14ac:dyDescent="0.35">
      <c r="A93" s="11">
        <v>70</v>
      </c>
      <c r="B93">
        <f t="shared" si="28"/>
        <v>2.8170124692202041</v>
      </c>
      <c r="C93">
        <f t="shared" si="29"/>
        <v>18.994074250563486</v>
      </c>
      <c r="D93">
        <f t="shared" si="30"/>
        <v>0.14089236810455544</v>
      </c>
      <c r="E93">
        <f t="shared" si="31"/>
        <v>2.8419098542787502</v>
      </c>
      <c r="F93">
        <f t="shared" si="32"/>
        <v>4.0598712203982146E-2</v>
      </c>
      <c r="G93">
        <f t="shared" si="33"/>
        <v>154.76316774804735</v>
      </c>
      <c r="H93">
        <f t="shared" si="34"/>
        <v>15.476316774804735</v>
      </c>
      <c r="U93" s="7">
        <f t="shared" si="35"/>
        <v>155.15139215856544</v>
      </c>
      <c r="V93" s="9">
        <f t="shared" si="36"/>
        <v>66.171095372545011</v>
      </c>
    </row>
    <row r="94" spans="1:22" x14ac:dyDescent="0.35">
      <c r="A94" s="11">
        <v>60</v>
      </c>
      <c r="B94">
        <f t="shared" si="28"/>
        <v>2.4145821164744605</v>
      </c>
      <c r="C94">
        <f t="shared" si="29"/>
        <v>11.006641412146108</v>
      </c>
      <c r="D94">
        <f t="shared" si="30"/>
        <v>0.20110387522957346</v>
      </c>
      <c r="E94">
        <f t="shared" si="31"/>
        <v>2.4558726905985697</v>
      </c>
      <c r="F94">
        <f t="shared" si="32"/>
        <v>4.0931211509976161E-2</v>
      </c>
      <c r="G94">
        <f t="shared" si="33"/>
        <v>153.50596953740757</v>
      </c>
      <c r="H94">
        <f t="shared" si="34"/>
        <v>15.350596953740757</v>
      </c>
      <c r="U94" s="7">
        <f t="shared" si="35"/>
        <v>153.92769048215823</v>
      </c>
      <c r="V94" s="9">
        <f t="shared" si="36"/>
        <v>57.941685926960453</v>
      </c>
    </row>
    <row r="95" spans="1:22" x14ac:dyDescent="0.35">
      <c r="A95" s="11">
        <v>50</v>
      </c>
      <c r="B95">
        <f t="shared" si="28"/>
        <v>2.012151763728717</v>
      </c>
      <c r="C95">
        <f t="shared" si="29"/>
        <v>6.218681932611041</v>
      </c>
      <c r="D95">
        <f t="shared" si="30"/>
        <v>0.27874226659560125</v>
      </c>
      <c r="E95">
        <f t="shared" si="31"/>
        <v>2.0802636820538369</v>
      </c>
      <c r="F95">
        <f t="shared" si="32"/>
        <v>4.1605273641076738E-2</v>
      </c>
      <c r="G95">
        <f t="shared" si="33"/>
        <v>151.0189636386917</v>
      </c>
      <c r="H95">
        <f t="shared" si="34"/>
        <v>15.101896363869169</v>
      </c>
      <c r="U95" s="7">
        <f t="shared" si="35"/>
        <v>151.4114990617702</v>
      </c>
      <c r="V95" s="9">
        <f t="shared" si="36"/>
        <v>49.064615189354448</v>
      </c>
    </row>
    <row r="96" spans="1:22" x14ac:dyDescent="0.35">
      <c r="A96" s="11">
        <v>40</v>
      </c>
      <c r="B96">
        <f t="shared" si="28"/>
        <v>1.6097214109829736</v>
      </c>
      <c r="C96">
        <f t="shared" si="29"/>
        <v>3.4220664757672292</v>
      </c>
      <c r="D96">
        <f t="shared" si="30"/>
        <v>0.36402017468624476</v>
      </c>
      <c r="E96">
        <f t="shared" si="31"/>
        <v>1.7190762623174285</v>
      </c>
      <c r="F96">
        <f t="shared" si="32"/>
        <v>4.2976906557935714E-2</v>
      </c>
      <c r="G96">
        <f t="shared" si="33"/>
        <v>146.19910576182204</v>
      </c>
      <c r="H96">
        <f t="shared" si="34"/>
        <v>14.619910576182203</v>
      </c>
      <c r="U96" s="7">
        <f t="shared" si="35"/>
        <v>146.48637307336691</v>
      </c>
      <c r="V96" s="7">
        <f t="shared" si="36"/>
        <v>39.670340204133637</v>
      </c>
    </row>
    <row r="97" spans="1:22" x14ac:dyDescent="0.35">
      <c r="A97" s="11">
        <v>30</v>
      </c>
      <c r="B97">
        <f t="shared" si="28"/>
        <v>1.2072910582372303</v>
      </c>
      <c r="C97">
        <f t="shared" si="29"/>
        <v>1.813742910222548</v>
      </c>
      <c r="D97">
        <f t="shared" si="30"/>
        <v>0.42906942700807793</v>
      </c>
      <c r="E97">
        <f t="shared" si="31"/>
        <v>1.3735432742755684</v>
      </c>
      <c r="F97">
        <f t="shared" si="32"/>
        <v>4.5784775809185614E-2</v>
      </c>
      <c r="G97">
        <f t="shared" si="33"/>
        <v>137.23306920548504</v>
      </c>
      <c r="H97">
        <f t="shared" si="34"/>
        <v>13.723306920548504</v>
      </c>
      <c r="U97" s="7">
        <f t="shared" si="35"/>
        <v>137.3864250404761</v>
      </c>
      <c r="V97" s="7">
        <f t="shared" si="36"/>
        <v>29.920853503381842</v>
      </c>
    </row>
    <row r="98" spans="1:22" x14ac:dyDescent="0.35">
      <c r="A98" s="11">
        <v>20</v>
      </c>
      <c r="B98">
        <f t="shared" si="28"/>
        <v>0.80486070549148681</v>
      </c>
      <c r="C98">
        <f t="shared" si="29"/>
        <v>0.88656450131833253</v>
      </c>
      <c r="D98">
        <f t="shared" si="30"/>
        <v>0.42662771663998217</v>
      </c>
      <c r="E98">
        <f t="shared" si="31"/>
        <v>1.0365464156921465</v>
      </c>
      <c r="F98">
        <f t="shared" si="32"/>
        <v>5.182732078460732E-2</v>
      </c>
      <c r="G98">
        <f t="shared" si="33"/>
        <v>121.23307190221742</v>
      </c>
      <c r="H98">
        <f t="shared" si="34"/>
        <v>12.123307190221741</v>
      </c>
      <c r="U98" s="7">
        <f t="shared" si="35"/>
        <v>121.30043316438649</v>
      </c>
      <c r="V98" s="7">
        <f t="shared" si="36"/>
        <v>19.989194068610662</v>
      </c>
    </row>
    <row r="99" spans="1:22" x14ac:dyDescent="0.35">
      <c r="A99" s="11">
        <v>10</v>
      </c>
      <c r="B99">
        <f t="shared" si="28"/>
        <v>0.4024303527457434</v>
      </c>
      <c r="C99">
        <f t="shared" si="29"/>
        <v>0.33846776733946676</v>
      </c>
      <c r="D99">
        <f t="shared" si="30"/>
        <v>0.30066495627733536</v>
      </c>
      <c r="E99">
        <f t="shared" si="31"/>
        <v>0.68015817652101984</v>
      </c>
      <c r="F99">
        <f t="shared" si="32"/>
        <v>6.801581765210199E-2</v>
      </c>
      <c r="G99">
        <f t="shared" si="33"/>
        <v>92.378295579975401</v>
      </c>
      <c r="H99">
        <f t="shared" si="34"/>
        <v>9.2378295579975394</v>
      </c>
      <c r="U99" s="7">
        <f t="shared" si="35"/>
        <v>92.417419586212858</v>
      </c>
      <c r="V99" s="7">
        <f t="shared" si="36"/>
        <v>9.9994052760449019</v>
      </c>
    </row>
    <row r="100" spans="1:22" x14ac:dyDescent="0.35">
      <c r="A100" s="11">
        <v>9</v>
      </c>
      <c r="B100">
        <f t="shared" si="28"/>
        <v>0.36218731747116906</v>
      </c>
      <c r="C100">
        <f t="shared" si="29"/>
        <v>0.29715680404072492</v>
      </c>
      <c r="D100">
        <f t="shared" si="30"/>
        <v>0.27921629547247706</v>
      </c>
      <c r="E100">
        <f t="shared" si="31"/>
        <v>0.64062153289554546</v>
      </c>
      <c r="F100">
        <f t="shared" si="32"/>
        <v>7.1180170321727271E-2</v>
      </c>
      <c r="G100">
        <f t="shared" si="33"/>
        <v>88.271568876278536</v>
      </c>
      <c r="H100">
        <f t="shared" si="34"/>
        <v>8.8271568876278543</v>
      </c>
      <c r="U100" s="7">
        <f t="shared" si="35"/>
        <v>88.309151190833418</v>
      </c>
      <c r="V100" s="7">
        <f t="shared" si="36"/>
        <v>8.9995958315708826</v>
      </c>
    </row>
    <row r="101" spans="1:22" x14ac:dyDescent="0.35">
      <c r="A101" s="11">
        <v>8</v>
      </c>
      <c r="B101">
        <f t="shared" si="28"/>
        <v>0.32194428219659471</v>
      </c>
      <c r="C101">
        <f t="shared" si="29"/>
        <v>0.25776408016958874</v>
      </c>
      <c r="D101">
        <f t="shared" si="30"/>
        <v>0.25596555607883625</v>
      </c>
      <c r="E101">
        <f t="shared" si="31"/>
        <v>0.5996779776829535</v>
      </c>
      <c r="F101">
        <f t="shared" si="32"/>
        <v>7.4959747210369188E-2</v>
      </c>
      <c r="G101">
        <f t="shared" si="33"/>
        <v>83.820791037972342</v>
      </c>
      <c r="H101">
        <f t="shared" si="34"/>
        <v>8.3820791037972349</v>
      </c>
      <c r="U101" s="7">
        <f t="shared" si="35"/>
        <v>83.856814675968039</v>
      </c>
      <c r="V101" s="7">
        <f t="shared" si="36"/>
        <v>7.9997343476093974</v>
      </c>
    </row>
    <row r="102" spans="1:22" x14ac:dyDescent="0.35">
      <c r="A102" s="11">
        <v>7</v>
      </c>
      <c r="B102">
        <f t="shared" si="28"/>
        <v>0.28170124692202037</v>
      </c>
      <c r="C102">
        <f t="shared" si="29"/>
        <v>0.22018139035722367</v>
      </c>
      <c r="D102">
        <f t="shared" si="30"/>
        <v>0.23086833576403648</v>
      </c>
      <c r="E102">
        <f t="shared" si="31"/>
        <v>0.55697749351428694</v>
      </c>
      <c r="F102">
        <f t="shared" si="32"/>
        <v>7.9568213359183848E-2</v>
      </c>
      <c r="G102">
        <f t="shared" si="33"/>
        <v>78.966022258364234</v>
      </c>
      <c r="H102">
        <f t="shared" si="34"/>
        <v>7.896602225836423</v>
      </c>
      <c r="U102" s="7">
        <f t="shared" si="35"/>
        <v>79.00040106899759</v>
      </c>
      <c r="V102" s="7">
        <f t="shared" si="36"/>
        <v>6.9998326962567301</v>
      </c>
    </row>
    <row r="103" spans="1:22" x14ac:dyDescent="0.35">
      <c r="A103" s="11">
        <v>6</v>
      </c>
      <c r="B103">
        <f t="shared" si="28"/>
        <v>0.24145821164744602</v>
      </c>
      <c r="C103">
        <f t="shared" si="29"/>
        <v>0.18430721300082034</v>
      </c>
      <c r="D103">
        <f t="shared" si="30"/>
        <v>0.20388139918158107</v>
      </c>
      <c r="E103">
        <f t="shared" si="31"/>
        <v>0.51203854069158106</v>
      </c>
      <c r="F103">
        <f t="shared" si="32"/>
        <v>8.5339756781930176E-2</v>
      </c>
      <c r="G103">
        <f t="shared" si="33"/>
        <v>73.625535671903705</v>
      </c>
      <c r="H103">
        <f t="shared" si="34"/>
        <v>7.3625535671903704</v>
      </c>
      <c r="U103" s="7">
        <f t="shared" si="35"/>
        <v>73.658105169046195</v>
      </c>
      <c r="V103" s="7">
        <f t="shared" si="36"/>
        <v>5.9999004112940524</v>
      </c>
    </row>
    <row r="104" spans="1:22" x14ac:dyDescent="0.35">
      <c r="A104" s="11">
        <v>5</v>
      </c>
      <c r="B104">
        <f t="shared" si="28"/>
        <v>0.2012151763728717</v>
      </c>
      <c r="C104">
        <f t="shared" si="29"/>
        <v>0.15004630665792407</v>
      </c>
      <c r="D104">
        <f t="shared" si="30"/>
        <v>0.17496267342278612</v>
      </c>
      <c r="E104">
        <f t="shared" si="31"/>
        <v>0.46416615626901536</v>
      </c>
      <c r="F104">
        <f t="shared" si="32"/>
        <v>9.2833231253803078E-2</v>
      </c>
      <c r="G104">
        <f t="shared" si="33"/>
        <v>67.682501430996822</v>
      </c>
      <c r="H104">
        <f t="shared" si="34"/>
        <v>6.7682501430996824</v>
      </c>
      <c r="U104" s="7">
        <f t="shared" si="35"/>
        <v>67.713001824869394</v>
      </c>
      <c r="V104" s="7">
        <f t="shared" si="36"/>
        <v>4.9999451301719251</v>
      </c>
    </row>
    <row r="105" spans="1:22" x14ac:dyDescent="0.35">
      <c r="A105" s="11">
        <v>4</v>
      </c>
      <c r="B105">
        <f t="shared" si="28"/>
        <v>0.16097214109829736</v>
      </c>
      <c r="C105">
        <f t="shared" si="29"/>
        <v>0.11730932479042881</v>
      </c>
      <c r="D105">
        <f t="shared" si="30"/>
        <v>0.14407124108490774</v>
      </c>
      <c r="E105">
        <f t="shared" si="31"/>
        <v>0.41229027552766495</v>
      </c>
      <c r="F105">
        <f t="shared" si="32"/>
        <v>0.10307256888191624</v>
      </c>
      <c r="G105">
        <f t="shared" si="33"/>
        <v>60.958850403523336</v>
      </c>
      <c r="H105">
        <f t="shared" si="34"/>
        <v>6.0958850403523339</v>
      </c>
      <c r="U105" s="7">
        <f t="shared" si="35"/>
        <v>60.986894836102785</v>
      </c>
      <c r="V105" s="7">
        <f t="shared" si="36"/>
        <v>3.9999729673196032</v>
      </c>
    </row>
    <row r="106" spans="1:22" x14ac:dyDescent="0.35">
      <c r="A106" s="11">
        <v>3</v>
      </c>
      <c r="B106">
        <f t="shared" si="28"/>
        <v>0.12072910582372301</v>
      </c>
      <c r="C106">
        <f t="shared" si="29"/>
        <v>8.6012448858235363E-2</v>
      </c>
      <c r="D106">
        <f t="shared" si="30"/>
        <v>0.11116733141562965</v>
      </c>
      <c r="E106">
        <f t="shared" si="31"/>
        <v>0.35460238071483013</v>
      </c>
      <c r="F106">
        <f t="shared" si="32"/>
        <v>0.11820079357161005</v>
      </c>
      <c r="G106">
        <f t="shared" si="33"/>
        <v>53.156879216492058</v>
      </c>
      <c r="H106">
        <f t="shared" si="34"/>
        <v>5.3156879216492054</v>
      </c>
      <c r="U106" s="7">
        <f t="shared" si="35"/>
        <v>53.181889942616451</v>
      </c>
      <c r="V106" s="7">
        <f t="shared" si="36"/>
        <v>2.9999888208211547</v>
      </c>
    </row>
    <row r="107" spans="1:22" x14ac:dyDescent="0.35">
      <c r="A107" s="11">
        <v>2</v>
      </c>
      <c r="B107">
        <f t="shared" si="28"/>
        <v>8.0486070549148678E-2</v>
      </c>
      <c r="C107">
        <f t="shared" si="29"/>
        <v>5.6077039762573992E-2</v>
      </c>
      <c r="D107">
        <f t="shared" si="30"/>
        <v>7.6212309820923155E-2</v>
      </c>
      <c r="E107">
        <f t="shared" si="31"/>
        <v>0.28755924150227846</v>
      </c>
      <c r="F107">
        <f t="shared" si="32"/>
        <v>0.14377962075113923</v>
      </c>
      <c r="G107">
        <f t="shared" si="33"/>
        <v>43.700110449274511</v>
      </c>
      <c r="H107">
        <f t="shared" si="34"/>
        <v>4.370011044927451</v>
      </c>
      <c r="U107" s="7">
        <f t="shared" si="35"/>
        <v>43.721169744763053</v>
      </c>
      <c r="V107" s="7">
        <f t="shared" si="36"/>
        <v>1.9999966177666439</v>
      </c>
    </row>
    <row r="108" spans="1:22" x14ac:dyDescent="0.35">
      <c r="A108" s="11">
        <v>1</v>
      </c>
      <c r="B108">
        <f t="shared" si="28"/>
        <v>4.0243035274574339E-2</v>
      </c>
      <c r="C108">
        <f t="shared" si="29"/>
        <v>2.7429307638991006E-2</v>
      </c>
      <c r="D108">
        <f t="shared" si="30"/>
        <v>3.9168665888120235E-2</v>
      </c>
      <c r="E108">
        <f t="shared" si="31"/>
        <v>0.20196080752519999</v>
      </c>
      <c r="F108">
        <f t="shared" si="32"/>
        <v>0.20196080752519999</v>
      </c>
      <c r="G108">
        <f t="shared" si="33"/>
        <v>31.110913964807711</v>
      </c>
      <c r="H108">
        <f t="shared" si="34"/>
        <v>3.1110913964807709</v>
      </c>
      <c r="U108" s="7">
        <f t="shared" si="35"/>
        <v>31.126287887723208</v>
      </c>
      <c r="V108" s="7">
        <f t="shared" si="36"/>
        <v>0.99999950589146569</v>
      </c>
    </row>
    <row r="111" spans="1:22" x14ac:dyDescent="0.35">
      <c r="A111" s="2" t="s">
        <v>71</v>
      </c>
      <c r="B111" s="2"/>
    </row>
    <row r="113" spans="1:32" x14ac:dyDescent="0.35">
      <c r="A113" s="11"/>
      <c r="B113" s="11"/>
      <c r="C113" s="11"/>
    </row>
    <row r="114" spans="1:32" x14ac:dyDescent="0.35">
      <c r="U114" t="s">
        <v>0</v>
      </c>
      <c r="V114">
        <v>7</v>
      </c>
      <c r="W114" t="s">
        <v>18</v>
      </c>
      <c r="AB114" t="s">
        <v>0</v>
      </c>
      <c r="AC114">
        <v>10</v>
      </c>
      <c r="AD114" t="s">
        <v>18</v>
      </c>
    </row>
    <row r="116" spans="1:32" x14ac:dyDescent="0.35">
      <c r="U116" t="s">
        <v>1</v>
      </c>
      <c r="V116" t="s">
        <v>12</v>
      </c>
      <c r="W116" t="s">
        <v>20</v>
      </c>
      <c r="X116" t="s">
        <v>21</v>
      </c>
      <c r="Y116" t="s">
        <v>22</v>
      </c>
      <c r="AB116" t="s">
        <v>1</v>
      </c>
      <c r="AC116" t="s">
        <v>12</v>
      </c>
      <c r="AD116" t="s">
        <v>20</v>
      </c>
      <c r="AE116" t="s">
        <v>21</v>
      </c>
      <c r="AF116" t="s">
        <v>22</v>
      </c>
    </row>
    <row r="117" spans="1:32" x14ac:dyDescent="0.35">
      <c r="A117" s="11"/>
      <c r="B117" s="11"/>
      <c r="U117">
        <v>100</v>
      </c>
      <c r="V117">
        <v>8.213029233354216E-2</v>
      </c>
      <c r="W117">
        <f t="shared" ref="W117:W135" si="37">(2*U117*V117)+SINH(2*V117*U117)</f>
        <v>6803268.3922196496</v>
      </c>
      <c r="X117">
        <f t="shared" ref="X117:X135" si="38">SQRT((2*(COSH(U117*V117))^2/W117))</f>
        <v>0.99999886627527756</v>
      </c>
      <c r="Y117">
        <f t="shared" ref="Y117:Y135" si="39">X117*$B$113</f>
        <v>0</v>
      </c>
      <c r="AB117">
        <v>100</v>
      </c>
      <c r="AC117">
        <v>4.0302432412869071E-2</v>
      </c>
      <c r="AD117">
        <f t="shared" ref="AD117:AD135" si="40">(2*AB117*AC117)+SINH(2*AC117*AB117)</f>
        <v>1591.4755123292664</v>
      </c>
      <c r="AE117">
        <f t="shared" ref="AE117:AE135" si="41">SQRT((2*(COSH(AB117*AC117))^2/AD117))</f>
        <v>0.99777941343492649</v>
      </c>
      <c r="AF117">
        <f t="shared" ref="AF117:AF135" si="42">AE117*$B$113</f>
        <v>0</v>
      </c>
    </row>
    <row r="118" spans="1:32" x14ac:dyDescent="0.35">
      <c r="A118" s="11"/>
      <c r="B118" s="11"/>
      <c r="U118">
        <v>90</v>
      </c>
      <c r="V118">
        <v>8.2131872705591996E-2</v>
      </c>
      <c r="W118">
        <f t="shared" si="37"/>
        <v>1316649.9274601901</v>
      </c>
      <c r="X118">
        <f t="shared" si="38"/>
        <v>0.99999476558935896</v>
      </c>
      <c r="Y118">
        <f t="shared" si="39"/>
        <v>0</v>
      </c>
      <c r="AB118">
        <v>90</v>
      </c>
      <c r="AC118">
        <v>4.0347310757367874E-2</v>
      </c>
      <c r="AD118">
        <f t="shared" si="40"/>
        <v>720.1818398966426</v>
      </c>
      <c r="AE118">
        <f t="shared" si="41"/>
        <v>0.99564312441536063</v>
      </c>
      <c r="AF118">
        <f t="shared" si="42"/>
        <v>0</v>
      </c>
    </row>
    <row r="119" spans="1:32" x14ac:dyDescent="0.35">
      <c r="A119" s="11"/>
      <c r="B119" s="11"/>
      <c r="U119">
        <v>80</v>
      </c>
      <c r="V119">
        <v>8.2135409978508905E-2</v>
      </c>
      <c r="W119">
        <f t="shared" si="37"/>
        <v>254885.56951088324</v>
      </c>
      <c r="X119">
        <f t="shared" si="38"/>
        <v>0.99997618184455117</v>
      </c>
      <c r="Y119">
        <f t="shared" si="39"/>
        <v>0</v>
      </c>
      <c r="AB119">
        <v>80</v>
      </c>
      <c r="AC119">
        <v>4.043243392398993E-2</v>
      </c>
      <c r="AD119">
        <f t="shared" si="40"/>
        <v>328.94877809589815</v>
      </c>
      <c r="AE119">
        <f t="shared" si="41"/>
        <v>0.99165439989688042</v>
      </c>
      <c r="AF119">
        <f t="shared" si="42"/>
        <v>0</v>
      </c>
    </row>
    <row r="120" spans="1:32" x14ac:dyDescent="0.35">
      <c r="A120" s="11"/>
      <c r="B120" s="11"/>
      <c r="U120">
        <v>70</v>
      </c>
      <c r="V120">
        <v>8.214401891648386E-2</v>
      </c>
      <c r="W120">
        <f t="shared" si="37"/>
        <v>49377.414292419264</v>
      </c>
      <c r="X120">
        <f t="shared" si="38"/>
        <v>0.99989366888742082</v>
      </c>
      <c r="Y120">
        <f t="shared" si="39"/>
        <v>0</v>
      </c>
      <c r="AB120">
        <v>70</v>
      </c>
      <c r="AC120">
        <v>4.0598712203982146E-2</v>
      </c>
      <c r="AD120">
        <f t="shared" si="40"/>
        <v>152.71739502733104</v>
      </c>
      <c r="AE120">
        <f t="shared" si="41"/>
        <v>0.98455696441873597</v>
      </c>
      <c r="AF120">
        <f t="shared" si="42"/>
        <v>0</v>
      </c>
    </row>
    <row r="121" spans="1:32" x14ac:dyDescent="0.35">
      <c r="A121" s="11"/>
      <c r="B121" s="11"/>
      <c r="U121">
        <v>60</v>
      </c>
      <c r="V121">
        <v>8.2167167096073038E-2</v>
      </c>
      <c r="W121">
        <f t="shared" si="37"/>
        <v>9584.8797289709109</v>
      </c>
      <c r="X121">
        <f t="shared" si="38"/>
        <v>0.999537706443969</v>
      </c>
      <c r="Y121">
        <f t="shared" si="39"/>
        <v>0</v>
      </c>
      <c r="AB121">
        <v>60</v>
      </c>
      <c r="AC121">
        <v>4.0931211509976161E-2</v>
      </c>
      <c r="AD121">
        <f t="shared" si="40"/>
        <v>72.84624737289974</v>
      </c>
      <c r="AE121">
        <f t="shared" si="41"/>
        <v>0.97283214192965817</v>
      </c>
      <c r="AF121">
        <f t="shared" si="42"/>
        <v>0</v>
      </c>
    </row>
    <row r="122" spans="1:32" x14ac:dyDescent="0.35">
      <c r="A122" s="11"/>
      <c r="B122" s="11"/>
      <c r="U122">
        <v>50</v>
      </c>
      <c r="V122">
        <v>8.2237153843705169E-2</v>
      </c>
      <c r="W122">
        <f t="shared" si="37"/>
        <v>1872.3880092931261</v>
      </c>
      <c r="X122">
        <f t="shared" si="38"/>
        <v>0.99806919628841206</v>
      </c>
      <c r="Y122">
        <f t="shared" si="39"/>
        <v>0</v>
      </c>
      <c r="AB122">
        <v>50</v>
      </c>
      <c r="AC122">
        <v>4.1605273641076738E-2</v>
      </c>
      <c r="AD122">
        <f t="shared" si="40"/>
        <v>36.20538796569803</v>
      </c>
      <c r="AE122">
        <f t="shared" si="41"/>
        <v>0.95558174093858483</v>
      </c>
      <c r="AF122">
        <f t="shared" si="42"/>
        <v>0</v>
      </c>
    </row>
    <row r="123" spans="1:32" x14ac:dyDescent="0.35">
      <c r="A123" s="11"/>
      <c r="B123" s="11"/>
      <c r="U123">
        <v>40</v>
      </c>
      <c r="V123">
        <v>8.2478470849483426E-2</v>
      </c>
      <c r="W123">
        <f t="shared" si="37"/>
        <v>373.51269677231926</v>
      </c>
      <c r="X123">
        <f t="shared" si="38"/>
        <v>0.99247945200471133</v>
      </c>
      <c r="Y123">
        <f t="shared" si="39"/>
        <v>0</v>
      </c>
      <c r="AB123">
        <v>40</v>
      </c>
      <c r="AC123">
        <v>4.2976906557935714E-2</v>
      </c>
      <c r="AD123">
        <f t="shared" si="40"/>
        <v>18.986787646105089</v>
      </c>
      <c r="AE123">
        <f t="shared" si="41"/>
        <v>0.9344938728306329</v>
      </c>
      <c r="AF123">
        <f t="shared" si="42"/>
        <v>0</v>
      </c>
    </row>
    <row r="124" spans="1:32" x14ac:dyDescent="0.35">
      <c r="A124" s="11"/>
      <c r="B124" s="11"/>
      <c r="U124">
        <v>30</v>
      </c>
      <c r="V124">
        <v>8.3422232480139982E-2</v>
      </c>
      <c r="W124">
        <f t="shared" si="37"/>
        <v>79.605434050717051</v>
      </c>
      <c r="X124">
        <f t="shared" si="38"/>
        <v>0.97456111182238758</v>
      </c>
      <c r="Y124">
        <f t="shared" si="39"/>
        <v>0</v>
      </c>
      <c r="AB124">
        <v>30</v>
      </c>
      <c r="AC124">
        <v>4.5784775809185614E-2</v>
      </c>
      <c r="AD124">
        <f t="shared" si="40"/>
        <v>10.513591436859576</v>
      </c>
      <c r="AE124">
        <f t="shared" si="41"/>
        <v>0.91647375437783662</v>
      </c>
      <c r="AF124">
        <f t="shared" si="42"/>
        <v>0</v>
      </c>
    </row>
    <row r="125" spans="1:32" x14ac:dyDescent="0.35">
      <c r="A125" s="11"/>
      <c r="B125" s="11"/>
      <c r="U125">
        <v>20</v>
      </c>
      <c r="V125">
        <v>8.7397764568535097E-2</v>
      </c>
      <c r="W125">
        <f t="shared" si="37"/>
        <v>19.970902810373218</v>
      </c>
      <c r="X125">
        <f t="shared" si="38"/>
        <v>0.93623763625264134</v>
      </c>
      <c r="Y125">
        <f t="shared" si="39"/>
        <v>0</v>
      </c>
      <c r="AB125">
        <v>20</v>
      </c>
      <c r="AC125">
        <v>5.182732078460732E-2</v>
      </c>
      <c r="AD125">
        <f t="shared" si="40"/>
        <v>5.984880375493205</v>
      </c>
      <c r="AE125">
        <f t="shared" si="41"/>
        <v>0.9174520989147098</v>
      </c>
      <c r="AF125">
        <f t="shared" si="42"/>
        <v>0</v>
      </c>
    </row>
    <row r="126" spans="1:32" x14ac:dyDescent="0.35">
      <c r="A126" s="11"/>
      <c r="B126" s="11"/>
      <c r="U126">
        <v>10</v>
      </c>
      <c r="V126">
        <v>0.10503703064816232</v>
      </c>
      <c r="W126">
        <f t="shared" si="37"/>
        <v>6.1256677904683992</v>
      </c>
      <c r="X126">
        <f t="shared" si="38"/>
        <v>0.91666937610850685</v>
      </c>
      <c r="Y126">
        <f t="shared" si="39"/>
        <v>0</v>
      </c>
      <c r="AB126">
        <v>10</v>
      </c>
      <c r="AC126">
        <v>6.801581765210199E-2</v>
      </c>
      <c r="AD126">
        <f t="shared" si="40"/>
        <v>3.1807395905447247</v>
      </c>
      <c r="AE126">
        <f t="shared" si="41"/>
        <v>0.9835578086768364</v>
      </c>
      <c r="AF126">
        <f t="shared" si="42"/>
        <v>0</v>
      </c>
    </row>
    <row r="127" spans="1:32" x14ac:dyDescent="0.35">
      <c r="A127" s="11"/>
      <c r="B127" s="11"/>
      <c r="U127">
        <v>9</v>
      </c>
      <c r="V127">
        <v>0.10899782761628406</v>
      </c>
      <c r="W127">
        <f t="shared" si="37"/>
        <v>5.4483005421310846</v>
      </c>
      <c r="X127">
        <f t="shared" si="38"/>
        <v>0.92154292015750461</v>
      </c>
      <c r="Y127">
        <f t="shared" si="39"/>
        <v>0</v>
      </c>
      <c r="AB127">
        <v>9</v>
      </c>
      <c r="AC127">
        <v>7.1180170321727271E-2</v>
      </c>
      <c r="AD127">
        <f t="shared" si="40"/>
        <v>2.9429538001873317</v>
      </c>
      <c r="AE127">
        <f t="shared" si="41"/>
        <v>0.99939648369813694</v>
      </c>
      <c r="AF127">
        <f t="shared" si="42"/>
        <v>0</v>
      </c>
    </row>
    <row r="128" spans="1:32" x14ac:dyDescent="0.35">
      <c r="A128" s="11"/>
      <c r="B128" s="11"/>
      <c r="U128">
        <v>8</v>
      </c>
      <c r="V128">
        <v>0.11383333017450685</v>
      </c>
      <c r="W128">
        <f t="shared" si="37"/>
        <v>4.830474733758682</v>
      </c>
      <c r="X128">
        <f t="shared" si="38"/>
        <v>0.92922878185254887</v>
      </c>
      <c r="Y128">
        <f t="shared" si="39"/>
        <v>0</v>
      </c>
      <c r="AB128">
        <v>8</v>
      </c>
      <c r="AC128">
        <v>7.4959747210369188E-2</v>
      </c>
      <c r="AD128">
        <f t="shared" si="40"/>
        <v>2.7076514807525189</v>
      </c>
      <c r="AE128">
        <f t="shared" si="41"/>
        <v>1.0186672431568928</v>
      </c>
      <c r="AF128">
        <f t="shared" si="42"/>
        <v>0</v>
      </c>
    </row>
    <row r="129" spans="1:32" x14ac:dyDescent="0.35">
      <c r="A129" s="11"/>
      <c r="B129" s="11"/>
      <c r="U129">
        <v>7</v>
      </c>
      <c r="V129">
        <v>0.11984609284314407</v>
      </c>
      <c r="W129">
        <f t="shared" si="37"/>
        <v>4.2614609318363943</v>
      </c>
      <c r="X129">
        <f t="shared" si="38"/>
        <v>0.94061949415524793</v>
      </c>
      <c r="Y129">
        <f t="shared" si="39"/>
        <v>0</v>
      </c>
      <c r="AB129">
        <v>7</v>
      </c>
      <c r="AC129">
        <v>7.9568213359183848E-2</v>
      </c>
      <c r="AD129">
        <f t="shared" si="40"/>
        <v>2.4730174228834496</v>
      </c>
      <c r="AE129">
        <f t="shared" si="41"/>
        <v>1.0424281967836273</v>
      </c>
      <c r="AF129">
        <f t="shared" si="42"/>
        <v>0</v>
      </c>
    </row>
    <row r="130" spans="1:32" x14ac:dyDescent="0.35">
      <c r="A130" s="11"/>
      <c r="B130" s="11"/>
      <c r="U130">
        <v>6</v>
      </c>
      <c r="V130">
        <v>0.12750950443264</v>
      </c>
      <c r="W130">
        <f t="shared" si="37"/>
        <v>3.7312103521935938</v>
      </c>
      <c r="X130">
        <f t="shared" si="38"/>
        <v>0.95705348857559014</v>
      </c>
      <c r="Y130">
        <f t="shared" si="39"/>
        <v>0</v>
      </c>
      <c r="AB130">
        <v>6</v>
      </c>
      <c r="AC130">
        <v>8.5339756781930176E-2</v>
      </c>
      <c r="AD130">
        <f t="shared" si="40"/>
        <v>2.2367753947379256</v>
      </c>
      <c r="AE130">
        <f t="shared" si="41"/>
        <v>1.0722834647240354</v>
      </c>
      <c r="AF130">
        <f t="shared" si="42"/>
        <v>0</v>
      </c>
    </row>
    <row r="131" spans="1:32" x14ac:dyDescent="0.35">
      <c r="A131" s="11"/>
      <c r="B131" s="11"/>
      <c r="U131">
        <v>5</v>
      </c>
      <c r="V131">
        <v>0.13761580797709469</v>
      </c>
      <c r="W131">
        <f t="shared" si="37"/>
        <v>3.2297144365695867</v>
      </c>
      <c r="X131">
        <f t="shared" si="38"/>
        <v>0.98067676570486961</v>
      </c>
      <c r="Y131">
        <f t="shared" si="39"/>
        <v>0</v>
      </c>
      <c r="AB131">
        <v>5</v>
      </c>
      <c r="AC131">
        <v>9.2833231253803078E-2</v>
      </c>
      <c r="AD131">
        <f t="shared" si="40"/>
        <v>1.9958691522036984</v>
      </c>
      <c r="AE131">
        <f t="shared" si="41"/>
        <v>1.1108209216344918</v>
      </c>
      <c r="AF131">
        <f t="shared" si="42"/>
        <v>0</v>
      </c>
    </row>
    <row r="132" spans="1:32" x14ac:dyDescent="0.35">
      <c r="A132" s="11"/>
      <c r="B132" s="11"/>
      <c r="U132">
        <v>4</v>
      </c>
      <c r="V132">
        <v>0.15161801964765234</v>
      </c>
      <c r="W132">
        <f t="shared" si="37"/>
        <v>2.7459700351580238</v>
      </c>
      <c r="X132">
        <f t="shared" si="38"/>
        <v>1.0152474492797847</v>
      </c>
      <c r="Y132">
        <f t="shared" si="39"/>
        <v>0</v>
      </c>
      <c r="AB132">
        <v>4</v>
      </c>
      <c r="AC132">
        <v>0.10307256888191624</v>
      </c>
      <c r="AD132">
        <f t="shared" si="40"/>
        <v>1.7458330437203555</v>
      </c>
      <c r="AE132">
        <f t="shared" si="41"/>
        <v>1.162584167671741</v>
      </c>
      <c r="AF132">
        <f t="shared" si="42"/>
        <v>0</v>
      </c>
    </row>
    <row r="133" spans="1:32" x14ac:dyDescent="0.35">
      <c r="A133" s="11"/>
      <c r="B133" s="11"/>
      <c r="U133">
        <v>3</v>
      </c>
      <c r="V133">
        <v>0.17256074751780257</v>
      </c>
      <c r="W133">
        <f t="shared" si="37"/>
        <v>2.2658822636787432</v>
      </c>
      <c r="X133">
        <f t="shared" si="38"/>
        <v>1.0682262228004125</v>
      </c>
      <c r="Y133">
        <f t="shared" si="39"/>
        <v>0</v>
      </c>
      <c r="AB133">
        <v>3</v>
      </c>
      <c r="AC133">
        <v>0.11820079357161005</v>
      </c>
      <c r="AD133">
        <f t="shared" si="40"/>
        <v>1.4793742943988215</v>
      </c>
      <c r="AE133">
        <f t="shared" si="41"/>
        <v>1.2365934206940126</v>
      </c>
      <c r="AF133">
        <f t="shared" si="42"/>
        <v>0</v>
      </c>
    </row>
    <row r="134" spans="1:32" x14ac:dyDescent="0.35">
      <c r="A134" s="11"/>
      <c r="B134" s="11"/>
      <c r="U134">
        <v>2</v>
      </c>
      <c r="V134">
        <v>0.20835567745536548</v>
      </c>
      <c r="W134">
        <f t="shared" si="37"/>
        <v>1.7667338027447372</v>
      </c>
      <c r="X134">
        <f t="shared" si="38"/>
        <v>1.1576930087179753</v>
      </c>
      <c r="Y134">
        <f t="shared" si="39"/>
        <v>0</v>
      </c>
      <c r="AB134">
        <v>2</v>
      </c>
      <c r="AC134">
        <v>0.14377962075113923</v>
      </c>
      <c r="AD134">
        <f t="shared" si="40"/>
        <v>1.1824699316844436</v>
      </c>
      <c r="AE134">
        <f t="shared" si="41"/>
        <v>1.3546708266158549</v>
      </c>
      <c r="AF134">
        <f t="shared" si="42"/>
        <v>0</v>
      </c>
    </row>
    <row r="135" spans="1:32" x14ac:dyDescent="0.35">
      <c r="A135" s="11"/>
      <c r="B135" s="11"/>
      <c r="U135">
        <v>1</v>
      </c>
      <c r="V135">
        <v>0.29055944931126354</v>
      </c>
      <c r="W135">
        <f t="shared" si="37"/>
        <v>1.1955017474759231</v>
      </c>
      <c r="X135">
        <f t="shared" si="38"/>
        <v>1.348404549747984</v>
      </c>
      <c r="Y135">
        <f t="shared" si="39"/>
        <v>0</v>
      </c>
      <c r="AB135">
        <v>1</v>
      </c>
      <c r="AC135">
        <v>0.20196080752519999</v>
      </c>
      <c r="AD135">
        <f t="shared" si="40"/>
        <v>0.81891665990124041</v>
      </c>
      <c r="AE135">
        <f t="shared" si="41"/>
        <v>1.5947500308470253</v>
      </c>
      <c r="AF135">
        <f t="shared" si="42"/>
        <v>0</v>
      </c>
    </row>
    <row r="381" spans="3:7" x14ac:dyDescent="0.35">
      <c r="C381">
        <f>diagrammiprofondita!D146-10</f>
        <v>-40</v>
      </c>
      <c r="D381">
        <v>0.4471448364803568</v>
      </c>
      <c r="G381">
        <f>((diagrammiprofondita!$C$114*(diagrammiprofondita!$G$111/2))*((COSH((2*3.14*(C381+diagrammiprofondita!$F$111)/diagrammiprofondita!$C$137)))/(COSH((2*3.14)/diagrammiprofondita!$C$137))))*(1)-(diagrammiprofondita!$C$114*C381)</f>
        <v>9666074.7690722905</v>
      </c>
    </row>
    <row r="382" spans="3:7" x14ac:dyDescent="0.35">
      <c r="C382">
        <f t="shared" ref="C382:C387" si="43">C381-10</f>
        <v>-50</v>
      </c>
      <c r="D382">
        <v>0.4471448364803568</v>
      </c>
      <c r="G382">
        <f>((diagrammiprofondita!$C$114*(diagrammiprofondita!$G$111/2))*((COSH((2*3.14*(C382+diagrammiprofondita!$F$111)/diagrammiprofondita!$C$137)))/(COSH((2*3.14)/diagrammiprofondita!$C$137))))*(1)-(diagrammiprofondita!$C$114*C382)</f>
        <v>843702410.53763366</v>
      </c>
    </row>
    <row r="383" spans="3:7" x14ac:dyDescent="0.35">
      <c r="C383">
        <f t="shared" si="43"/>
        <v>-60</v>
      </c>
      <c r="D383">
        <v>0.4471448364803568</v>
      </c>
      <c r="G383">
        <f>((diagrammiprofondita!$C$114*(diagrammiprofondita!$G$111/2))*((COSH((2*3.14*(C383+diagrammiprofondita!$F$111)/diagrammiprofondita!$C$137)))/(COSH((2*3.14)/diagrammiprofondita!$C$137))))*(1)-(diagrammiprofondita!$C$114*C383)</f>
        <v>73642774559.207077</v>
      </c>
    </row>
    <row r="384" spans="3:7" x14ac:dyDescent="0.35">
      <c r="C384">
        <f t="shared" si="43"/>
        <v>-70</v>
      </c>
      <c r="D384">
        <v>0.4471448364803568</v>
      </c>
      <c r="G384">
        <f>((diagrammiprofondita!$C$114*(diagrammiprofondita!$G$111/2))*((COSH((2*3.14*(C384+diagrammiprofondita!$F$111)/diagrammiprofondita!$C$137)))/(COSH((2*3.14)/diagrammiprofondita!$C$137))))*(1)-(diagrammiprofondita!$C$114*C384)</f>
        <v>6427928240718.0684</v>
      </c>
    </row>
    <row r="385" spans="1:21" x14ac:dyDescent="0.35">
      <c r="C385">
        <f t="shared" si="43"/>
        <v>-80</v>
      </c>
      <c r="D385">
        <v>0.4471448364803568</v>
      </c>
      <c r="G385">
        <f>((diagrammiprofondita!$C$114*(diagrammiprofondita!$G$111/2))*((COSH((2*3.14*(C385+diagrammiprofondita!$F$111)/diagrammiprofondita!$C$137)))/(COSH((2*3.14)/diagrammiprofondita!$C$137))))*(1)-(diagrammiprofondita!$C$114*C385)</f>
        <v>561063345960018.44</v>
      </c>
    </row>
    <row r="386" spans="1:21" x14ac:dyDescent="0.35">
      <c r="C386">
        <f t="shared" si="43"/>
        <v>-90</v>
      </c>
      <c r="D386">
        <v>0.4471448364803568</v>
      </c>
      <c r="G386">
        <f>((diagrammiprofondita!$C$114*(diagrammiprofondita!$G$111/2))*((COSH((2*3.14*(C386+diagrammiprofondita!$F$111)/diagrammiprofondita!$C$137)))/(COSH((2*3.14)/diagrammiprofondita!$C$137))))*(1)-(diagrammiprofondita!$C$114*C386)</f>
        <v>4.897255638123944E+16</v>
      </c>
    </row>
    <row r="387" spans="1:21" x14ac:dyDescent="0.35">
      <c r="C387">
        <f t="shared" si="43"/>
        <v>-100</v>
      </c>
      <c r="D387">
        <v>0.4471448364803568</v>
      </c>
      <c r="G387">
        <f>((diagrammiprofondita!$C$114*(diagrammiprofondita!$G$111/2))*((COSH((2*3.14*(C387+diagrammiprofondita!$F$111)/diagrammiprofondita!$C$137)))/(COSH((2*3.14)/diagrammiprofondita!$C$137))))*(1)-(diagrammiprofondita!$C$114*C387)</f>
        <v>4.2745819982418227E+18</v>
      </c>
    </row>
    <row r="390" spans="1:21" x14ac:dyDescent="0.35">
      <c r="A390" s="2" t="s">
        <v>41</v>
      </c>
    </row>
    <row r="391" spans="1:21" x14ac:dyDescent="0.35">
      <c r="D391" s="5" t="s">
        <v>44</v>
      </c>
      <c r="E391">
        <v>-1</v>
      </c>
      <c r="F391">
        <v>-2</v>
      </c>
      <c r="H391">
        <v>-1</v>
      </c>
    </row>
    <row r="392" spans="1:21" x14ac:dyDescent="0.35">
      <c r="A392" s="6" t="s">
        <v>45</v>
      </c>
      <c r="U392" s="5" t="s">
        <v>51</v>
      </c>
    </row>
    <row r="393" spans="1:21" x14ac:dyDescent="0.35">
      <c r="B393" t="s">
        <v>22</v>
      </c>
      <c r="C393">
        <v>1.8283730773019649</v>
      </c>
      <c r="D393" s="5" t="s">
        <v>46</v>
      </c>
      <c r="E393">
        <f>($C$393/2)*((COSH(((2*3.14)*(E391+$C$397))/diagrammiprofondita!$C$117))/(SINH((2*3.14*$C$397)/diagrammiprofondita!$C$117)))</f>
        <v>0.78198838269215243</v>
      </c>
      <c r="F393">
        <f>($C$393/2)*((COSH(((2*3.14)*(F391+$C$397))/diagrammiprofondita!$C$117))/(SINH((2*3.14*$C$397)/diagrammiprofondita!$C$117)))</f>
        <v>0.67511408094194048</v>
      </c>
      <c r="H393">
        <f>(1.99/2)*((COSH(((2*3.14)*(H391+10))/14))/(SINH((2*3.14*10)/14)))</f>
        <v>0.63562559345880443</v>
      </c>
    </row>
    <row r="394" spans="1:21" x14ac:dyDescent="0.35">
      <c r="A394" t="s">
        <v>26</v>
      </c>
      <c r="B394" t="s">
        <v>27</v>
      </c>
      <c r="D394" s="5" t="s">
        <v>47</v>
      </c>
      <c r="E394">
        <f>($C$393/2)*((SINH(((2*3.14)*(E391+$C$397))/$B$400))/(SINH((2*3.14*$C$397)/$B$400)))</f>
        <v>0.39462236173259035</v>
      </c>
      <c r="F394">
        <f>($C$393/2)*((SINH(((2*3.14)*(F391+$C$397))/$B$400))/(SINH((2*3.14*$C$397)/$B$400)))</f>
        <v>0</v>
      </c>
      <c r="H394">
        <f>(1.99/2)*((SINH(((2*3.14)*(H391+10))/44))/(SINH((2*3.14*10)/44)))</f>
        <v>0.84524241450096704</v>
      </c>
      <c r="U394" s="5" t="s">
        <v>36</v>
      </c>
    </row>
    <row r="395" spans="1:21" x14ac:dyDescent="0.35">
      <c r="B395">
        <f>(2*3.14)/7</f>
        <v>0.89714285714285713</v>
      </c>
    </row>
    <row r="397" spans="1:21" x14ac:dyDescent="0.35">
      <c r="B397" t="s">
        <v>1</v>
      </c>
      <c r="C397">
        <v>2</v>
      </c>
    </row>
    <row r="399" spans="1:21" x14ac:dyDescent="0.35">
      <c r="B399" t="s">
        <v>13</v>
      </c>
    </row>
    <row r="400" spans="1:21" x14ac:dyDescent="0.35">
      <c r="B400">
        <v>11.304893451161922</v>
      </c>
    </row>
    <row r="403" spans="1:7" x14ac:dyDescent="0.35">
      <c r="D403" s="5" t="s">
        <v>44</v>
      </c>
      <c r="E403">
        <v>-1</v>
      </c>
      <c r="F403">
        <v>-2</v>
      </c>
    </row>
    <row r="404" spans="1:7" x14ac:dyDescent="0.35">
      <c r="A404" t="s">
        <v>48</v>
      </c>
      <c r="B404" t="s">
        <v>22</v>
      </c>
      <c r="C404">
        <v>2.7093416532317098</v>
      </c>
    </row>
    <row r="405" spans="1:7" x14ac:dyDescent="0.35">
      <c r="B405" t="s">
        <v>27</v>
      </c>
      <c r="D405" s="5" t="s">
        <v>46</v>
      </c>
      <c r="E405">
        <f>($C$404/2)*((COSH(((2*3.14)*(E403+$C$397))/$B$409))/(SINH((2*3.14*$C$397)/$B$409)))</f>
        <v>4.6971333157608255</v>
      </c>
      <c r="F405">
        <f>($C$404/2)*((COSH(((2*3.14)*(F403+$C$397))/$B$409))/(SINH((2*3.14*$C$397)/$B$409)))</f>
        <v>4.6490454729562849</v>
      </c>
    </row>
    <row r="406" spans="1:7" x14ac:dyDescent="0.35">
      <c r="B406">
        <f>(2*3.14)/10</f>
        <v>0.628</v>
      </c>
      <c r="D406" s="5" t="s">
        <v>47</v>
      </c>
      <c r="E406">
        <f>($C$404/2)*((SINH(((2*3.14)*(E403+$C$397))/$B$409))/(SINH((2*3.14*$C$397)/$B$409)))</f>
        <v>0.67040105639457159</v>
      </c>
      <c r="F406">
        <f>($C$404/2)*((SINH(((2*3.14)*(F403+$C$397))/$B$409))/(SINH((2*3.14*$C$397)/$B$409)))</f>
        <v>0</v>
      </c>
    </row>
    <row r="407" spans="1:7" x14ac:dyDescent="0.35">
      <c r="F407" t="s">
        <v>49</v>
      </c>
    </row>
    <row r="409" spans="1:7" x14ac:dyDescent="0.35">
      <c r="B409">
        <v>43.700110449274511</v>
      </c>
    </row>
    <row r="413" spans="1:7" x14ac:dyDescent="0.35">
      <c r="A413" s="6" t="s">
        <v>42</v>
      </c>
      <c r="D413" s="5" t="s">
        <v>44</v>
      </c>
      <c r="E413">
        <v>-1</v>
      </c>
      <c r="F413">
        <v>-10</v>
      </c>
      <c r="G413">
        <v>-100</v>
      </c>
    </row>
    <row r="414" spans="1:7" x14ac:dyDescent="0.35">
      <c r="A414" t="s">
        <v>26</v>
      </c>
      <c r="B414" t="s">
        <v>22</v>
      </c>
      <c r="C414">
        <v>2</v>
      </c>
    </row>
    <row r="415" spans="1:7" x14ac:dyDescent="0.35">
      <c r="D415" s="5" t="s">
        <v>46</v>
      </c>
      <c r="E415">
        <f>($C$414/2)*((COSH(((2*3.14)*(E413+$C$420))/$B$418))/(SINH((2*3.14*$C$420)/$B$418)))</f>
        <v>0.63959625510055451</v>
      </c>
      <c r="F415">
        <f>($C$414/2)*((COSH(((2*3.14)*(F413+$C$420))/$B$418))/(SINH((2*3.14*$C$420)/$B$418)))</f>
        <v>1.1456688958448468E-2</v>
      </c>
      <c r="G415">
        <f>($C$414/2)*((COSH(((2*3.14)*(G413+$C$420))/$B$418))/(SINH((2*3.14*$C$420)/$B$418)))</f>
        <v>7.7915026032142667E-20</v>
      </c>
    </row>
    <row r="416" spans="1:7" x14ac:dyDescent="0.35">
      <c r="D416" s="5" t="s">
        <v>47</v>
      </c>
      <c r="E416">
        <f>($C$414/2)*((SINH(((2*3.14)*(E413+$C$420))/$B$418))/(SINH((2*3.14*$C$420)/$B$418)))</f>
        <v>0.63959625510055451</v>
      </c>
      <c r="F416">
        <f t="shared" ref="F416:G416" si="44">($C$414/2)*((SINH(((2*3.14)*(F413+$C$420))/$B$418))/(SINH((2*3.14*$C$420)/$B$418)))</f>
        <v>1.1456688958448468E-2</v>
      </c>
      <c r="G416">
        <f t="shared" si="44"/>
        <v>0</v>
      </c>
    </row>
    <row r="417" spans="1:7" x14ac:dyDescent="0.35">
      <c r="B417" t="s">
        <v>13</v>
      </c>
    </row>
    <row r="418" spans="1:7" x14ac:dyDescent="0.35">
      <c r="B418">
        <v>14.05178992256038</v>
      </c>
    </row>
    <row r="420" spans="1:7" x14ac:dyDescent="0.35">
      <c r="B420" t="s">
        <v>1</v>
      </c>
      <c r="C420">
        <v>100</v>
      </c>
    </row>
    <row r="423" spans="1:7" x14ac:dyDescent="0.35">
      <c r="A423" t="s">
        <v>48</v>
      </c>
      <c r="D423" s="5" t="s">
        <v>50</v>
      </c>
      <c r="E423">
        <v>-1</v>
      </c>
      <c r="F423">
        <v>-10</v>
      </c>
      <c r="G423">
        <v>-100</v>
      </c>
    </row>
    <row r="425" spans="1:7" x14ac:dyDescent="0.35">
      <c r="B425" t="s">
        <v>22</v>
      </c>
      <c r="C425">
        <v>1.995558826869853</v>
      </c>
      <c r="D425" s="5" t="s">
        <v>46</v>
      </c>
      <c r="E425">
        <f>($C$425/2)*((COSH(((2*3.14)*(E423+$C$420))/$B$428))/(SINH((2*3.14*$C$420)/$B$428)))</f>
        <v>0.95901905780114027</v>
      </c>
      <c r="F425">
        <f t="shared" ref="F425:G425" si="45">($C$425/2)*((COSH(((2*3.14)*(F423+$C$420))/$B$428))/(SINH((2*3.14*$C$420)/$B$428)))</f>
        <v>0.66763306237600084</v>
      </c>
      <c r="G425">
        <f t="shared" si="45"/>
        <v>3.554489127275165E-2</v>
      </c>
    </row>
    <row r="426" spans="1:7" x14ac:dyDescent="0.35">
      <c r="D426" s="5" t="s">
        <v>47</v>
      </c>
      <c r="E426">
        <f>($C$425/2)*((SINH(((2*3.14)*(E423+$C$420))/$B$428))/(SINH((2*3.14*$C$420)/$B$428)))</f>
        <v>0.95836011703857693</v>
      </c>
      <c r="F426">
        <f t="shared" ref="F426:G426" si="46">($C$425/2)*((SINH(((2*3.14)*(F423+$C$420))/$B$428))/(SINH((2*3.14*$C$420)/$B$428)))</f>
        <v>0.66668618305914007</v>
      </c>
      <c r="G426">
        <f t="shared" si="46"/>
        <v>0</v>
      </c>
    </row>
    <row r="427" spans="1:7" x14ac:dyDescent="0.35">
      <c r="B427" t="s">
        <v>13</v>
      </c>
    </row>
    <row r="428" spans="1:7" x14ac:dyDescent="0.35">
      <c r="B428">
        <v>155.90089557902928</v>
      </c>
    </row>
    <row r="434" spans="1:27" x14ac:dyDescent="0.35">
      <c r="A434" s="2" t="s">
        <v>43</v>
      </c>
    </row>
    <row r="437" spans="1:27" x14ac:dyDescent="0.35">
      <c r="A437" t="s">
        <v>57</v>
      </c>
      <c r="B437" t="s">
        <v>0</v>
      </c>
      <c r="C437">
        <v>7</v>
      </c>
      <c r="D437" t="s">
        <v>18</v>
      </c>
    </row>
    <row r="439" spans="1:27" x14ac:dyDescent="0.35">
      <c r="B439" t="s">
        <v>1</v>
      </c>
      <c r="C439" t="s">
        <v>12</v>
      </c>
      <c r="D439" t="s">
        <v>20</v>
      </c>
      <c r="E439" t="s">
        <v>21</v>
      </c>
      <c r="F439" t="s">
        <v>22</v>
      </c>
      <c r="G439" t="s">
        <v>13</v>
      </c>
      <c r="H439" t="s">
        <v>14</v>
      </c>
      <c r="U439" s="3" t="s">
        <v>54</v>
      </c>
      <c r="V439" s="3" t="s">
        <v>52</v>
      </c>
      <c r="W439" t="s">
        <v>53</v>
      </c>
      <c r="Y439" t="s">
        <v>55</v>
      </c>
      <c r="Z439" t="s">
        <v>56</v>
      </c>
      <c r="AA439" t="s">
        <v>22</v>
      </c>
    </row>
    <row r="440" spans="1:27" x14ac:dyDescent="0.35">
      <c r="B440">
        <v>100</v>
      </c>
      <c r="C440">
        <v>8.213029233354216E-2</v>
      </c>
      <c r="D440">
        <v>6803268.3922196496</v>
      </c>
      <c r="E440">
        <v>0.99999886627527756</v>
      </c>
      <c r="F440">
        <v>1.9999977325505551</v>
      </c>
      <c r="G440">
        <v>76.50265363311658</v>
      </c>
      <c r="H440">
        <v>10.928950519016654</v>
      </c>
      <c r="U440">
        <f>ASIN((H440/$H$440)*SIN((20*3.14)/180))</f>
        <v>0.34888888888888892</v>
      </c>
      <c r="V440">
        <f>((COS(U440))/(COS(20)))^(0.5)</f>
        <v>1.5175155086537127</v>
      </c>
      <c r="W440">
        <f t="shared" ref="W440:W458" si="47">V440+E440+2</f>
        <v>4.5175143749289903</v>
      </c>
      <c r="Y440">
        <f>ASIN((H440/$H$440)*SIN((45*3.14)/180))</f>
        <v>0.78500000000000003</v>
      </c>
      <c r="Z440">
        <f>((COS(Y440))/(COS(45)))^(0.5)</f>
        <v>1.1604224890315498</v>
      </c>
      <c r="AA440">
        <f t="shared" ref="AA440:AA458" si="48">Z440+E440+2</f>
        <v>4.160421355306827</v>
      </c>
    </row>
    <row r="441" spans="1:27" x14ac:dyDescent="0.35">
      <c r="B441">
        <v>90</v>
      </c>
      <c r="C441">
        <v>8.2131872705591996E-2</v>
      </c>
      <c r="D441">
        <v>1316649.9274601901</v>
      </c>
      <c r="E441">
        <v>0.99999476558935896</v>
      </c>
      <c r="F441">
        <v>1.9999895311787179</v>
      </c>
      <c r="G441">
        <v>76.501181577852805</v>
      </c>
      <c r="H441">
        <v>10.928740225407543</v>
      </c>
      <c r="U441">
        <f t="shared" ref="U441:U458" si="49">ASIN((H441/$H$440)*SIN((20*3.14)/180))</f>
        <v>0.34888188928031671</v>
      </c>
      <c r="V441">
        <f t="shared" ref="V441:V458" si="50">((COS(U441))/(COS(20)))^(0.5)</f>
        <v>1.5175174406181795</v>
      </c>
      <c r="W441">
        <f t="shared" si="47"/>
        <v>4.5175122062075381</v>
      </c>
      <c r="Y441">
        <f t="shared" ref="Y441:Y458" si="51">ASIN((H441/$H$440)*SIN((45*3.14)/180))</f>
        <v>0.78498077361640461</v>
      </c>
      <c r="Z441">
        <f t="shared" ref="Z441:Z458" si="52">((COS(Y441))/(COS(45)))^(0.5)</f>
        <v>1.1604336353549514</v>
      </c>
      <c r="AA441">
        <f t="shared" si="48"/>
        <v>4.1604284009443102</v>
      </c>
    </row>
    <row r="442" spans="1:27" x14ac:dyDescent="0.35">
      <c r="B442">
        <v>80</v>
      </c>
      <c r="C442">
        <v>8.2135409978508905E-2</v>
      </c>
      <c r="D442">
        <v>254885.56951088324</v>
      </c>
      <c r="E442">
        <v>0.99997618184455117</v>
      </c>
      <c r="F442">
        <v>1.9999523636891023</v>
      </c>
      <c r="G442">
        <v>76.497886950629564</v>
      </c>
      <c r="H442">
        <v>10.928269564375652</v>
      </c>
      <c r="U442">
        <f t="shared" si="49"/>
        <v>0.34886622342424811</v>
      </c>
      <c r="V442">
        <f t="shared" si="50"/>
        <v>1.5175217644130983</v>
      </c>
      <c r="W442">
        <f t="shared" si="47"/>
        <v>4.5174979462576497</v>
      </c>
      <c r="Y442">
        <f t="shared" si="51"/>
        <v>0.7849377441199592</v>
      </c>
      <c r="Z442">
        <f t="shared" si="52"/>
        <v>1.1604585801544052</v>
      </c>
      <c r="AA442">
        <f t="shared" si="48"/>
        <v>4.1604347619989568</v>
      </c>
    </row>
    <row r="443" spans="1:27" x14ac:dyDescent="0.35">
      <c r="B443">
        <v>70</v>
      </c>
      <c r="C443">
        <v>8.214401891648386E-2</v>
      </c>
      <c r="D443">
        <v>49377.414292419264</v>
      </c>
      <c r="E443">
        <v>0.99989366888742082</v>
      </c>
      <c r="F443">
        <v>1.9997873377748416</v>
      </c>
      <c r="G443">
        <v>76.489869744110337</v>
      </c>
      <c r="H443">
        <v>10.92712424915862</v>
      </c>
      <c r="U443">
        <f t="shared" si="49"/>
        <v>0.34882810221468591</v>
      </c>
      <c r="V443">
        <f t="shared" si="50"/>
        <v>1.5175322850829531</v>
      </c>
      <c r="W443">
        <f t="shared" si="47"/>
        <v>4.5174259539703741</v>
      </c>
      <c r="Y443">
        <f t="shared" si="51"/>
        <v>0.78483304307805513</v>
      </c>
      <c r="Z443">
        <f t="shared" si="52"/>
        <v>1.1605192700824305</v>
      </c>
      <c r="AA443">
        <f t="shared" si="48"/>
        <v>4.1604129389698512</v>
      </c>
    </row>
    <row r="444" spans="1:27" x14ac:dyDescent="0.35">
      <c r="B444">
        <v>60</v>
      </c>
      <c r="C444">
        <v>8.2167167096073038E-2</v>
      </c>
      <c r="D444">
        <v>9584.8797289709109</v>
      </c>
      <c r="E444">
        <v>0.999537706443969</v>
      </c>
      <c r="F444">
        <v>1.999075412887938</v>
      </c>
      <c r="G444">
        <v>76.468320975859399</v>
      </c>
      <c r="H444">
        <v>10.924045853694199</v>
      </c>
      <c r="U444">
        <f t="shared" si="49"/>
        <v>0.34872564207356571</v>
      </c>
      <c r="V444">
        <f t="shared" si="50"/>
        <v>1.5175605561487227</v>
      </c>
      <c r="W444">
        <f t="shared" si="47"/>
        <v>4.5170982625926914</v>
      </c>
      <c r="Y444">
        <f t="shared" si="51"/>
        <v>0.78455168029333877</v>
      </c>
      <c r="Z444">
        <f t="shared" si="52"/>
        <v>1.1606823147028182</v>
      </c>
      <c r="AA444">
        <f t="shared" si="48"/>
        <v>4.1602200211467872</v>
      </c>
    </row>
    <row r="445" spans="1:27" x14ac:dyDescent="0.35">
      <c r="B445">
        <v>50</v>
      </c>
      <c r="C445">
        <v>8.2237153843705169E-2</v>
      </c>
      <c r="D445">
        <v>1872.3880092931261</v>
      </c>
      <c r="E445">
        <v>0.99806919628841206</v>
      </c>
      <c r="F445">
        <v>1.9961383925768241</v>
      </c>
      <c r="G445">
        <v>76.403243710513351</v>
      </c>
      <c r="H445">
        <v>10.914749101501908</v>
      </c>
      <c r="U445">
        <f t="shared" si="49"/>
        <v>0.34841623568022689</v>
      </c>
      <c r="V445">
        <f t="shared" si="50"/>
        <v>1.5176458768147416</v>
      </c>
      <c r="W445">
        <f t="shared" si="47"/>
        <v>4.5157150731031539</v>
      </c>
      <c r="Y445">
        <f t="shared" si="51"/>
        <v>0.78370244411350076</v>
      </c>
      <c r="Z445">
        <f t="shared" si="52"/>
        <v>1.1611740142629186</v>
      </c>
      <c r="AA445">
        <f t="shared" si="48"/>
        <v>4.1592432105513311</v>
      </c>
    </row>
    <row r="446" spans="1:27" x14ac:dyDescent="0.35">
      <c r="B446">
        <v>40</v>
      </c>
      <c r="C446">
        <v>8.2478470849483426E-2</v>
      </c>
      <c r="D446">
        <v>373.51269677231926</v>
      </c>
      <c r="E446">
        <v>0.99247945200471133</v>
      </c>
      <c r="F446">
        <v>1.9849589040094227</v>
      </c>
      <c r="G446">
        <v>76.179701714473993</v>
      </c>
      <c r="H446">
        <v>10.882814530639141</v>
      </c>
      <c r="U446">
        <f t="shared" si="49"/>
        <v>0.34735368175191916</v>
      </c>
      <c r="V446">
        <f t="shared" si="50"/>
        <v>1.5179382928674021</v>
      </c>
      <c r="W446">
        <f t="shared" si="47"/>
        <v>4.5104177448721137</v>
      </c>
      <c r="Y446">
        <f t="shared" si="51"/>
        <v>0.78079075242768214</v>
      </c>
      <c r="Z446">
        <f t="shared" si="52"/>
        <v>1.1628551007638435</v>
      </c>
      <c r="AA446">
        <f t="shared" si="48"/>
        <v>4.1553345527685543</v>
      </c>
    </row>
    <row r="447" spans="1:27" x14ac:dyDescent="0.35">
      <c r="B447">
        <v>30</v>
      </c>
      <c r="C447">
        <v>8.3422232480139982E-2</v>
      </c>
      <c r="D447">
        <v>79.605434050717051</v>
      </c>
      <c r="E447">
        <v>0.97456111182238758</v>
      </c>
      <c r="F447">
        <v>1.9491222236447752</v>
      </c>
      <c r="G447">
        <v>75.317875347862454</v>
      </c>
      <c r="H447">
        <v>10.759696478266065</v>
      </c>
      <c r="U447">
        <f t="shared" si="49"/>
        <v>0.34326100353901345</v>
      </c>
      <c r="V447">
        <f t="shared" si="50"/>
        <v>1.5190560729840084</v>
      </c>
      <c r="W447">
        <f t="shared" si="47"/>
        <v>4.4936171848063964</v>
      </c>
      <c r="Y447">
        <f t="shared" si="51"/>
        <v>0.76964278910990769</v>
      </c>
      <c r="Z447">
        <f t="shared" si="52"/>
        <v>1.1692236782439096</v>
      </c>
      <c r="AA447">
        <f t="shared" si="48"/>
        <v>4.143784790066297</v>
      </c>
    </row>
    <row r="448" spans="1:27" x14ac:dyDescent="0.35">
      <c r="B448">
        <v>20</v>
      </c>
      <c r="C448">
        <v>8.7397764568535097E-2</v>
      </c>
      <c r="D448">
        <v>19.970902810373218</v>
      </c>
      <c r="E448">
        <v>0.93623763625264134</v>
      </c>
      <c r="F448">
        <v>1.8724752725052827</v>
      </c>
      <c r="G448">
        <v>71.891830851720158</v>
      </c>
      <c r="H448">
        <v>10.270261550245737</v>
      </c>
      <c r="U448">
        <f t="shared" si="49"/>
        <v>0.32704945563769561</v>
      </c>
      <c r="V448">
        <f t="shared" si="50"/>
        <v>1.5233508400652682</v>
      </c>
      <c r="W448">
        <f t="shared" si="47"/>
        <v>4.4595884763179097</v>
      </c>
      <c r="Y448">
        <f t="shared" si="51"/>
        <v>0.72645626809004749</v>
      </c>
      <c r="Z448">
        <f t="shared" si="52"/>
        <v>1.1928954256804716</v>
      </c>
      <c r="AA448">
        <f t="shared" si="48"/>
        <v>4.1291330619331124</v>
      </c>
    </row>
    <row r="449" spans="2:27" x14ac:dyDescent="0.35">
      <c r="B449">
        <v>10</v>
      </c>
      <c r="C449">
        <v>0.10503703064816232</v>
      </c>
      <c r="D449">
        <v>6.1256677904683992</v>
      </c>
      <c r="E449">
        <v>0.91666937610850685</v>
      </c>
      <c r="F449">
        <v>1.8333387522170137</v>
      </c>
      <c r="G449">
        <v>59.818763615149038</v>
      </c>
      <c r="H449">
        <v>8.5455376593070049</v>
      </c>
      <c r="U449">
        <f t="shared" si="49"/>
        <v>0.27059154761869242</v>
      </c>
      <c r="V449">
        <f t="shared" si="50"/>
        <v>1.5366591986652063</v>
      </c>
      <c r="W449">
        <f t="shared" si="47"/>
        <v>4.453328574773713</v>
      </c>
      <c r="Y449">
        <f t="shared" si="51"/>
        <v>0.58557536303626301</v>
      </c>
      <c r="Z449">
        <f t="shared" si="52"/>
        <v>1.2595414247694137</v>
      </c>
      <c r="AA449">
        <f t="shared" si="48"/>
        <v>4.1762108008779206</v>
      </c>
    </row>
    <row r="450" spans="2:27" x14ac:dyDescent="0.35">
      <c r="B450">
        <v>9</v>
      </c>
      <c r="C450">
        <v>0.10899782761628406</v>
      </c>
      <c r="D450">
        <v>5.4483005421310846</v>
      </c>
      <c r="E450">
        <v>0.92154292015750461</v>
      </c>
      <c r="F450">
        <v>1.8430858403150092</v>
      </c>
      <c r="G450">
        <v>57.645050773845796</v>
      </c>
      <c r="H450">
        <v>8.2350072534065415</v>
      </c>
      <c r="U450">
        <f t="shared" si="49"/>
        <v>0.26052536211363408</v>
      </c>
      <c r="V450">
        <f t="shared" si="50"/>
        <v>1.5387642091050615</v>
      </c>
      <c r="W450">
        <f t="shared" si="47"/>
        <v>4.4603071292625662</v>
      </c>
      <c r="Y450">
        <f t="shared" si="51"/>
        <v>0.56166431074834933</v>
      </c>
      <c r="Z450">
        <f t="shared" si="52"/>
        <v>1.2693088546365692</v>
      </c>
      <c r="AA450">
        <f t="shared" si="48"/>
        <v>4.1908517747940737</v>
      </c>
    </row>
    <row r="451" spans="2:27" x14ac:dyDescent="0.35">
      <c r="B451">
        <v>8</v>
      </c>
      <c r="C451">
        <v>0.11383333017450685</v>
      </c>
      <c r="D451">
        <v>4.830474733758682</v>
      </c>
      <c r="E451">
        <v>0.92922878185254887</v>
      </c>
      <c r="F451">
        <v>1.8584575637050977</v>
      </c>
      <c r="G451">
        <v>55.196358549358465</v>
      </c>
      <c r="H451">
        <v>7.8851940784797803</v>
      </c>
      <c r="U451">
        <f t="shared" si="49"/>
        <v>0.24921798965762676</v>
      </c>
      <c r="V451">
        <f t="shared" si="50"/>
        <v>1.5410325026090859</v>
      </c>
      <c r="W451">
        <f t="shared" si="47"/>
        <v>4.4702612844616345</v>
      </c>
      <c r="Y451">
        <f t="shared" si="51"/>
        <v>0.53515170490405384</v>
      </c>
      <c r="Z451">
        <f t="shared" si="52"/>
        <v>1.2796309227527631</v>
      </c>
      <c r="AA451">
        <f t="shared" si="48"/>
        <v>4.2088597046053122</v>
      </c>
    </row>
    <row r="452" spans="2:27" x14ac:dyDescent="0.35">
      <c r="B452">
        <v>7</v>
      </c>
      <c r="C452">
        <v>0.11984609284314407</v>
      </c>
      <c r="D452">
        <v>4.2614609318363943</v>
      </c>
      <c r="E452">
        <v>0.94061949415524793</v>
      </c>
      <c r="F452">
        <v>1.8812389883104959</v>
      </c>
      <c r="G452">
        <v>52.427118466040362</v>
      </c>
      <c r="H452">
        <v>7.4895883522914799</v>
      </c>
      <c r="U452">
        <f t="shared" si="49"/>
        <v>0.23646942635509122</v>
      </c>
      <c r="V452">
        <f t="shared" si="50"/>
        <v>1.5434679333468819</v>
      </c>
      <c r="W452">
        <f t="shared" si="47"/>
        <v>4.4840874275021303</v>
      </c>
      <c r="Y452">
        <f t="shared" si="51"/>
        <v>0.50566109736040143</v>
      </c>
      <c r="Z452">
        <f t="shared" si="52"/>
        <v>1.2904913862933902</v>
      </c>
      <c r="AA452">
        <f t="shared" si="48"/>
        <v>4.2311108804486377</v>
      </c>
    </row>
    <row r="453" spans="2:27" x14ac:dyDescent="0.35">
      <c r="B453">
        <v>6</v>
      </c>
      <c r="C453">
        <v>0.12750950443264</v>
      </c>
      <c r="D453">
        <v>3.7312103521935938</v>
      </c>
      <c r="E453">
        <v>0.95705348857559014</v>
      </c>
      <c r="F453">
        <v>1.9141069771511803</v>
      </c>
      <c r="G453">
        <v>49.276211488209739</v>
      </c>
      <c r="H453">
        <v>7.0394587840299625</v>
      </c>
      <c r="U453">
        <f t="shared" si="49"/>
        <v>0.22201116611685784</v>
      </c>
      <c r="V453">
        <f t="shared" si="50"/>
        <v>1.5460737939735929</v>
      </c>
      <c r="W453">
        <f t="shared" si="47"/>
        <v>4.5031272825491833</v>
      </c>
      <c r="Y453">
        <f t="shared" si="51"/>
        <v>0.47267990392334835</v>
      </c>
      <c r="Z453">
        <f t="shared" si="52"/>
        <v>1.301870937808334</v>
      </c>
      <c r="AA453">
        <f t="shared" si="48"/>
        <v>4.2589244263839241</v>
      </c>
    </row>
    <row r="454" spans="2:27" x14ac:dyDescent="0.35">
      <c r="B454">
        <v>5</v>
      </c>
      <c r="C454">
        <v>0.13761580797709469</v>
      </c>
      <c r="D454">
        <v>3.2297144365695867</v>
      </c>
      <c r="E454">
        <v>0.98067676570486961</v>
      </c>
      <c r="F454">
        <v>1.9613535314097392</v>
      </c>
      <c r="G454">
        <v>45.657438629618653</v>
      </c>
      <c r="H454">
        <v>6.5224912328026647</v>
      </c>
      <c r="U454">
        <f t="shared" si="49"/>
        <v>0.20546387860780249</v>
      </c>
      <c r="V454">
        <f t="shared" si="50"/>
        <v>1.5488528225936655</v>
      </c>
      <c r="W454">
        <f t="shared" si="47"/>
        <v>4.5295295882985354</v>
      </c>
      <c r="Y454">
        <f t="shared" si="51"/>
        <v>0.43547301708910385</v>
      </c>
      <c r="Z454">
        <f t="shared" si="52"/>
        <v>1.3137477291897979</v>
      </c>
      <c r="AA454">
        <f t="shared" si="48"/>
        <v>4.2944244948946677</v>
      </c>
    </row>
    <row r="455" spans="2:27" x14ac:dyDescent="0.35">
      <c r="B455">
        <v>4</v>
      </c>
      <c r="C455">
        <v>0.15161801964765234</v>
      </c>
      <c r="D455">
        <v>2.7459700351580238</v>
      </c>
      <c r="E455">
        <v>1.0152474492797847</v>
      </c>
      <c r="F455">
        <v>2.0304948985595694</v>
      </c>
      <c r="G455">
        <v>41.440887579069994</v>
      </c>
      <c r="H455">
        <v>5.9201267970099991</v>
      </c>
      <c r="U455">
        <f t="shared" si="49"/>
        <v>0.18625456831277584</v>
      </c>
      <c r="V455">
        <f t="shared" si="50"/>
        <v>1.5518072087394525</v>
      </c>
      <c r="W455">
        <f t="shared" si="47"/>
        <v>4.567054658019237</v>
      </c>
      <c r="Y455">
        <f t="shared" si="51"/>
        <v>0.39291364917023125</v>
      </c>
      <c r="Z455">
        <f t="shared" si="52"/>
        <v>1.3260978711571549</v>
      </c>
      <c r="AA455">
        <f t="shared" si="48"/>
        <v>4.3413453204369397</v>
      </c>
    </row>
    <row r="456" spans="2:27" x14ac:dyDescent="0.35">
      <c r="B456">
        <v>3</v>
      </c>
      <c r="C456">
        <v>0.17256074751780257</v>
      </c>
      <c r="D456">
        <v>2.2658822636787432</v>
      </c>
      <c r="E456">
        <v>1.0682262228004125</v>
      </c>
      <c r="F456">
        <v>2.1364524456008249</v>
      </c>
      <c r="G456">
        <v>36.411440014951076</v>
      </c>
      <c r="H456">
        <v>5.2016342878501538</v>
      </c>
      <c r="U456">
        <f t="shared" si="49"/>
        <v>0.16343192146193236</v>
      </c>
      <c r="V456">
        <f t="shared" si="50"/>
        <v>1.5549385991379228</v>
      </c>
      <c r="W456">
        <f t="shared" si="47"/>
        <v>4.6231648219383352</v>
      </c>
      <c r="Y456">
        <f t="shared" si="51"/>
        <v>0.34310577571076223</v>
      </c>
      <c r="Z456">
        <f t="shared" si="52"/>
        <v>1.3388959015695734</v>
      </c>
      <c r="AA456">
        <f t="shared" si="48"/>
        <v>4.4071221243699856</v>
      </c>
    </row>
    <row r="457" spans="2:27" x14ac:dyDescent="0.35">
      <c r="B457">
        <v>2</v>
      </c>
      <c r="C457">
        <v>0.20835567745536548</v>
      </c>
      <c r="D457">
        <v>1.7667338027447372</v>
      </c>
      <c r="E457">
        <v>1.1576930087179753</v>
      </c>
      <c r="F457">
        <v>2.3153860174359506</v>
      </c>
      <c r="G457">
        <v>30.156055183692256</v>
      </c>
      <c r="H457">
        <v>4.308007883384608</v>
      </c>
      <c r="U457">
        <f t="shared" si="49"/>
        <v>0.13516420361923889</v>
      </c>
      <c r="V457">
        <f t="shared" si="50"/>
        <v>1.5582481052698116</v>
      </c>
      <c r="W457">
        <f t="shared" si="47"/>
        <v>4.7159411139877871</v>
      </c>
      <c r="Y457">
        <f t="shared" si="51"/>
        <v>0.28235541022808519</v>
      </c>
      <c r="Z457">
        <f t="shared" si="52"/>
        <v>1.3521152226709483</v>
      </c>
      <c r="AA457">
        <f t="shared" si="48"/>
        <v>4.5098082313889236</v>
      </c>
    </row>
    <row r="458" spans="2:27" x14ac:dyDescent="0.35">
      <c r="B458">
        <v>1</v>
      </c>
      <c r="C458">
        <v>0.29055944931126354</v>
      </c>
      <c r="D458">
        <v>1.1955017474759231</v>
      </c>
      <c r="E458">
        <v>1.348404549747984</v>
      </c>
      <c r="F458">
        <v>2.6968090994959679</v>
      </c>
      <c r="G458">
        <v>21.624439756040033</v>
      </c>
      <c r="H458">
        <v>3.0892056794342904</v>
      </c>
      <c r="U458">
        <f t="shared" si="49"/>
        <v>9.678031134686213E-2</v>
      </c>
      <c r="V458">
        <f t="shared" si="50"/>
        <v>1.5617363149497965</v>
      </c>
      <c r="W458">
        <f t="shared" si="47"/>
        <v>4.9101408646977802</v>
      </c>
      <c r="Y458">
        <f t="shared" si="51"/>
        <v>0.20114670847502444</v>
      </c>
      <c r="Z458">
        <f t="shared" si="52"/>
        <v>1.3657285092784921</v>
      </c>
      <c r="AA458">
        <f t="shared" si="48"/>
        <v>4.7141330590264765</v>
      </c>
    </row>
    <row r="477" spans="1:23" x14ac:dyDescent="0.35">
      <c r="A477" t="s">
        <v>59</v>
      </c>
      <c r="B477">
        <f>1/20</f>
        <v>0.05</v>
      </c>
    </row>
    <row r="480" spans="1:23" x14ac:dyDescent="0.35">
      <c r="A480" t="s">
        <v>60</v>
      </c>
      <c r="B480" t="s">
        <v>1</v>
      </c>
      <c r="C480" t="s">
        <v>12</v>
      </c>
      <c r="D480" t="s">
        <v>20</v>
      </c>
      <c r="E480" t="s">
        <v>21</v>
      </c>
      <c r="F480" t="s">
        <v>22</v>
      </c>
      <c r="G480" t="s">
        <v>13</v>
      </c>
      <c r="H480" t="s">
        <v>14</v>
      </c>
      <c r="U480" t="s">
        <v>54</v>
      </c>
      <c r="V480" t="s">
        <v>58</v>
      </c>
      <c r="W480" t="s">
        <v>53</v>
      </c>
    </row>
    <row r="481" spans="1:23" x14ac:dyDescent="0.35">
      <c r="A481">
        <f>B481/$B$477</f>
        <v>2000</v>
      </c>
      <c r="B481">
        <v>100</v>
      </c>
      <c r="C481">
        <v>8.213029233354216E-2</v>
      </c>
      <c r="D481">
        <v>6803268.3922196496</v>
      </c>
      <c r="E481">
        <v>0.99999886627527756</v>
      </c>
      <c r="F481">
        <v>1.9999977325505551</v>
      </c>
      <c r="G481">
        <v>76.50265363311658</v>
      </c>
      <c r="H481">
        <v>10.928950519016654</v>
      </c>
      <c r="U481">
        <f>ASIN((H481/$H$440)*SIN((20*3.14)/180))</f>
        <v>0.34888888888888892</v>
      </c>
      <c r="V481">
        <f>((COS(U481))/(COS(20)))^(0.5)</f>
        <v>1.5175155086537127</v>
      </c>
      <c r="W481">
        <f t="shared" ref="W481:W499" si="53">V481+E481+2</f>
        <v>4.5175143749289903</v>
      </c>
    </row>
    <row r="482" spans="1:23" x14ac:dyDescent="0.35">
      <c r="A482">
        <f t="shared" ref="A482:A499" si="54">B482/$B$477</f>
        <v>1800</v>
      </c>
      <c r="B482">
        <v>90</v>
      </c>
      <c r="C482">
        <v>8.2131872705591996E-2</v>
      </c>
      <c r="D482">
        <v>1316649.9274601901</v>
      </c>
      <c r="E482">
        <v>0.99999476558935896</v>
      </c>
      <c r="F482">
        <v>1.9999895311787179</v>
      </c>
      <c r="G482">
        <v>76.501181577852805</v>
      </c>
      <c r="H482">
        <v>10.928740225407543</v>
      </c>
      <c r="U482">
        <f t="shared" ref="U482:U499" si="55">ASIN((H482/$H$440)*SIN((20*3.14)/180))</f>
        <v>0.34888188928031671</v>
      </c>
      <c r="V482">
        <f t="shared" ref="V482:V499" si="56">((COS(U482))/(COS(20)))^(0.5)</f>
        <v>1.5175174406181795</v>
      </c>
      <c r="W482">
        <f t="shared" si="53"/>
        <v>4.5175122062075381</v>
      </c>
    </row>
    <row r="483" spans="1:23" x14ac:dyDescent="0.35">
      <c r="A483">
        <f t="shared" si="54"/>
        <v>1600</v>
      </c>
      <c r="B483">
        <v>80</v>
      </c>
      <c r="C483">
        <v>8.2135409978508905E-2</v>
      </c>
      <c r="D483">
        <v>254885.56951088324</v>
      </c>
      <c r="E483">
        <v>0.99997618184455117</v>
      </c>
      <c r="F483">
        <v>1.9999523636891023</v>
      </c>
      <c r="G483">
        <v>76.497886950629564</v>
      </c>
      <c r="H483">
        <v>10.928269564375652</v>
      </c>
      <c r="U483">
        <f t="shared" si="55"/>
        <v>0.34886622342424811</v>
      </c>
      <c r="V483">
        <f t="shared" si="56"/>
        <v>1.5175217644130983</v>
      </c>
      <c r="W483">
        <f t="shared" si="53"/>
        <v>4.5174979462576497</v>
      </c>
    </row>
    <row r="484" spans="1:23" x14ac:dyDescent="0.35">
      <c r="A484">
        <f t="shared" si="54"/>
        <v>1400</v>
      </c>
      <c r="B484">
        <v>70</v>
      </c>
      <c r="C484">
        <v>8.214401891648386E-2</v>
      </c>
      <c r="D484">
        <v>49377.414292419264</v>
      </c>
      <c r="E484">
        <v>0.99989366888742082</v>
      </c>
      <c r="F484">
        <v>1.9997873377748416</v>
      </c>
      <c r="G484">
        <v>76.489869744110337</v>
      </c>
      <c r="H484">
        <v>10.92712424915862</v>
      </c>
      <c r="U484">
        <f t="shared" si="55"/>
        <v>0.34882810221468591</v>
      </c>
      <c r="V484">
        <f t="shared" si="56"/>
        <v>1.5175322850829531</v>
      </c>
      <c r="W484">
        <f t="shared" si="53"/>
        <v>4.5174259539703741</v>
      </c>
    </row>
    <row r="485" spans="1:23" x14ac:dyDescent="0.35">
      <c r="A485">
        <f t="shared" si="54"/>
        <v>1200</v>
      </c>
      <c r="B485">
        <v>60</v>
      </c>
      <c r="C485">
        <v>8.2167167096073038E-2</v>
      </c>
      <c r="D485">
        <v>9584.8797289709109</v>
      </c>
      <c r="E485">
        <v>0.999537706443969</v>
      </c>
      <c r="F485">
        <v>1.999075412887938</v>
      </c>
      <c r="G485">
        <v>76.468320975859399</v>
      </c>
      <c r="H485">
        <v>10.924045853694199</v>
      </c>
      <c r="U485">
        <f t="shared" si="55"/>
        <v>0.34872564207356571</v>
      </c>
      <c r="V485">
        <f t="shared" si="56"/>
        <v>1.5175605561487227</v>
      </c>
      <c r="W485">
        <f t="shared" si="53"/>
        <v>4.5170982625926914</v>
      </c>
    </row>
    <row r="486" spans="1:23" x14ac:dyDescent="0.35">
      <c r="A486">
        <f t="shared" si="54"/>
        <v>1000</v>
      </c>
      <c r="B486">
        <v>50</v>
      </c>
      <c r="C486">
        <v>8.2237153843705169E-2</v>
      </c>
      <c r="D486">
        <v>1872.3880092931261</v>
      </c>
      <c r="E486">
        <v>0.99806919628841206</v>
      </c>
      <c r="F486">
        <v>1.9961383925768241</v>
      </c>
      <c r="G486">
        <v>76.403243710513351</v>
      </c>
      <c r="H486">
        <v>10.914749101501908</v>
      </c>
      <c r="U486">
        <f t="shared" si="55"/>
        <v>0.34841623568022689</v>
      </c>
      <c r="V486">
        <f t="shared" si="56"/>
        <v>1.5176458768147416</v>
      </c>
      <c r="W486">
        <f t="shared" si="53"/>
        <v>4.5157150731031539</v>
      </c>
    </row>
    <row r="487" spans="1:23" x14ac:dyDescent="0.35">
      <c r="A487">
        <f t="shared" si="54"/>
        <v>800</v>
      </c>
      <c r="B487">
        <v>40</v>
      </c>
      <c r="C487">
        <v>8.2478470849483426E-2</v>
      </c>
      <c r="D487">
        <v>373.51269677231926</v>
      </c>
      <c r="E487">
        <v>0.99247945200471133</v>
      </c>
      <c r="F487">
        <v>1.9849589040094227</v>
      </c>
      <c r="G487">
        <v>76.179701714473993</v>
      </c>
      <c r="H487">
        <v>10.882814530639141</v>
      </c>
      <c r="U487">
        <f t="shared" si="55"/>
        <v>0.34735368175191916</v>
      </c>
      <c r="V487">
        <f t="shared" si="56"/>
        <v>1.5179382928674021</v>
      </c>
      <c r="W487">
        <f t="shared" si="53"/>
        <v>4.5104177448721137</v>
      </c>
    </row>
    <row r="488" spans="1:23" x14ac:dyDescent="0.35">
      <c r="A488">
        <f t="shared" si="54"/>
        <v>600</v>
      </c>
      <c r="B488">
        <v>30</v>
      </c>
      <c r="C488">
        <v>8.3422232480139982E-2</v>
      </c>
      <c r="D488">
        <v>79.605434050717051</v>
      </c>
      <c r="E488">
        <v>0.97456111182238758</v>
      </c>
      <c r="F488">
        <v>1.9491222236447752</v>
      </c>
      <c r="G488">
        <v>75.317875347862454</v>
      </c>
      <c r="H488">
        <v>10.759696478266065</v>
      </c>
      <c r="U488">
        <f t="shared" si="55"/>
        <v>0.34326100353901345</v>
      </c>
      <c r="V488">
        <f t="shared" si="56"/>
        <v>1.5190560729840084</v>
      </c>
      <c r="W488">
        <f t="shared" si="53"/>
        <v>4.4936171848063964</v>
      </c>
    </row>
    <row r="489" spans="1:23" x14ac:dyDescent="0.35">
      <c r="A489">
        <f t="shared" si="54"/>
        <v>400</v>
      </c>
      <c r="B489">
        <v>20</v>
      </c>
      <c r="C489">
        <v>8.7397764568535097E-2</v>
      </c>
      <c r="D489">
        <v>19.970902810373218</v>
      </c>
      <c r="E489">
        <v>0.93623763625264134</v>
      </c>
      <c r="F489">
        <v>1.8724752725052827</v>
      </c>
      <c r="G489">
        <v>71.891830851720158</v>
      </c>
      <c r="H489">
        <v>10.270261550245737</v>
      </c>
      <c r="U489">
        <f t="shared" si="55"/>
        <v>0.32704945563769561</v>
      </c>
      <c r="V489">
        <f t="shared" si="56"/>
        <v>1.5233508400652682</v>
      </c>
      <c r="W489">
        <f t="shared" si="53"/>
        <v>4.4595884763179097</v>
      </c>
    </row>
    <row r="490" spans="1:23" x14ac:dyDescent="0.35">
      <c r="A490">
        <f t="shared" si="54"/>
        <v>200</v>
      </c>
      <c r="B490">
        <v>10</v>
      </c>
      <c r="C490">
        <v>0.10503703064816232</v>
      </c>
      <c r="D490">
        <v>6.1256677904683992</v>
      </c>
      <c r="E490">
        <v>0.91666937610850685</v>
      </c>
      <c r="F490">
        <v>1.8333387522170137</v>
      </c>
      <c r="G490">
        <v>59.818763615149038</v>
      </c>
      <c r="H490">
        <v>8.5455376593070049</v>
      </c>
      <c r="U490">
        <f t="shared" si="55"/>
        <v>0.27059154761869242</v>
      </c>
      <c r="V490">
        <f t="shared" si="56"/>
        <v>1.5366591986652063</v>
      </c>
      <c r="W490">
        <f t="shared" si="53"/>
        <v>4.453328574773713</v>
      </c>
    </row>
    <row r="491" spans="1:23" x14ac:dyDescent="0.35">
      <c r="A491">
        <f t="shared" si="54"/>
        <v>180</v>
      </c>
      <c r="B491">
        <v>9</v>
      </c>
      <c r="C491">
        <v>0.10899782761628406</v>
      </c>
      <c r="D491">
        <v>5.4483005421310846</v>
      </c>
      <c r="E491">
        <v>0.92154292015750461</v>
      </c>
      <c r="F491">
        <v>1.8430858403150092</v>
      </c>
      <c r="G491">
        <v>57.645050773845796</v>
      </c>
      <c r="H491">
        <v>8.2350072534065415</v>
      </c>
      <c r="U491">
        <f t="shared" si="55"/>
        <v>0.26052536211363408</v>
      </c>
      <c r="V491">
        <f t="shared" si="56"/>
        <v>1.5387642091050615</v>
      </c>
      <c r="W491">
        <f t="shared" si="53"/>
        <v>4.4603071292625662</v>
      </c>
    </row>
    <row r="492" spans="1:23" x14ac:dyDescent="0.35">
      <c r="A492">
        <f t="shared" si="54"/>
        <v>160</v>
      </c>
      <c r="B492">
        <v>8</v>
      </c>
      <c r="C492">
        <v>0.11383333017450685</v>
      </c>
      <c r="D492">
        <v>4.830474733758682</v>
      </c>
      <c r="E492">
        <v>0.92922878185254887</v>
      </c>
      <c r="F492">
        <v>1.8584575637050977</v>
      </c>
      <c r="G492">
        <v>55.196358549358465</v>
      </c>
      <c r="H492">
        <v>7.8851940784797803</v>
      </c>
      <c r="U492">
        <f t="shared" si="55"/>
        <v>0.24921798965762676</v>
      </c>
      <c r="V492">
        <f t="shared" si="56"/>
        <v>1.5410325026090859</v>
      </c>
      <c r="W492">
        <f t="shared" si="53"/>
        <v>4.4702612844616345</v>
      </c>
    </row>
    <row r="493" spans="1:23" x14ac:dyDescent="0.35">
      <c r="A493">
        <f t="shared" si="54"/>
        <v>140</v>
      </c>
      <c r="B493">
        <v>7</v>
      </c>
      <c r="C493">
        <v>0.11984609284314407</v>
      </c>
      <c r="D493">
        <v>4.2614609318363943</v>
      </c>
      <c r="E493">
        <v>0.94061949415524793</v>
      </c>
      <c r="F493">
        <v>1.8812389883104959</v>
      </c>
      <c r="G493">
        <v>52.427118466040362</v>
      </c>
      <c r="H493">
        <v>7.4895883522914799</v>
      </c>
      <c r="U493">
        <f t="shared" si="55"/>
        <v>0.23646942635509122</v>
      </c>
      <c r="V493">
        <f t="shared" si="56"/>
        <v>1.5434679333468819</v>
      </c>
      <c r="W493">
        <f t="shared" si="53"/>
        <v>4.4840874275021303</v>
      </c>
    </row>
    <row r="494" spans="1:23" x14ac:dyDescent="0.35">
      <c r="A494">
        <f t="shared" si="54"/>
        <v>120</v>
      </c>
      <c r="B494">
        <v>6</v>
      </c>
      <c r="C494">
        <v>0.12750950443264</v>
      </c>
      <c r="D494">
        <v>3.7312103521935938</v>
      </c>
      <c r="E494">
        <v>0.95705348857559014</v>
      </c>
      <c r="F494">
        <v>1.9141069771511803</v>
      </c>
      <c r="G494">
        <v>49.276211488209739</v>
      </c>
      <c r="H494">
        <v>7.0394587840299625</v>
      </c>
      <c r="U494">
        <f t="shared" si="55"/>
        <v>0.22201116611685784</v>
      </c>
      <c r="V494">
        <f t="shared" si="56"/>
        <v>1.5460737939735929</v>
      </c>
      <c r="W494">
        <f t="shared" si="53"/>
        <v>4.5031272825491833</v>
      </c>
    </row>
    <row r="495" spans="1:23" x14ac:dyDescent="0.35">
      <c r="A495">
        <f t="shared" si="54"/>
        <v>100</v>
      </c>
      <c r="B495">
        <v>5</v>
      </c>
      <c r="C495">
        <v>0.13761580797709469</v>
      </c>
      <c r="D495">
        <v>3.2297144365695867</v>
      </c>
      <c r="E495">
        <v>0.98067676570486961</v>
      </c>
      <c r="F495">
        <v>1.9613535314097392</v>
      </c>
      <c r="G495">
        <v>45.657438629618653</v>
      </c>
      <c r="H495">
        <v>6.5224912328026647</v>
      </c>
      <c r="U495">
        <f t="shared" si="55"/>
        <v>0.20546387860780249</v>
      </c>
      <c r="V495">
        <f t="shared" si="56"/>
        <v>1.5488528225936655</v>
      </c>
      <c r="W495">
        <f t="shared" si="53"/>
        <v>4.5295295882985354</v>
      </c>
    </row>
    <row r="496" spans="1:23" x14ac:dyDescent="0.35">
      <c r="A496">
        <f t="shared" si="54"/>
        <v>80</v>
      </c>
      <c r="B496">
        <v>4</v>
      </c>
      <c r="C496">
        <v>0.15161801964765234</v>
      </c>
      <c r="D496">
        <v>2.7459700351580238</v>
      </c>
      <c r="E496">
        <v>1.0152474492797847</v>
      </c>
      <c r="F496">
        <v>2.0304948985595694</v>
      </c>
      <c r="G496">
        <v>41.440887579069994</v>
      </c>
      <c r="H496">
        <v>5.9201267970099991</v>
      </c>
      <c r="U496">
        <f t="shared" si="55"/>
        <v>0.18625456831277584</v>
      </c>
      <c r="V496">
        <f t="shared" si="56"/>
        <v>1.5518072087394525</v>
      </c>
      <c r="W496">
        <f t="shared" si="53"/>
        <v>4.567054658019237</v>
      </c>
    </row>
    <row r="497" spans="1:23" x14ac:dyDescent="0.35">
      <c r="A497">
        <f t="shared" si="54"/>
        <v>60</v>
      </c>
      <c r="B497">
        <v>3</v>
      </c>
      <c r="C497">
        <v>0.17256074751780257</v>
      </c>
      <c r="D497">
        <v>2.2658822636787432</v>
      </c>
      <c r="E497">
        <v>1.0682262228004125</v>
      </c>
      <c r="F497">
        <v>2.1364524456008249</v>
      </c>
      <c r="G497">
        <v>36.411440014951076</v>
      </c>
      <c r="H497">
        <v>5.2016342878501538</v>
      </c>
      <c r="U497">
        <f t="shared" si="55"/>
        <v>0.16343192146193236</v>
      </c>
      <c r="V497">
        <f t="shared" si="56"/>
        <v>1.5549385991379228</v>
      </c>
      <c r="W497">
        <f t="shared" si="53"/>
        <v>4.6231648219383352</v>
      </c>
    </row>
    <row r="498" spans="1:23" x14ac:dyDescent="0.35">
      <c r="A498">
        <f t="shared" si="54"/>
        <v>40</v>
      </c>
      <c r="B498">
        <v>2</v>
      </c>
      <c r="C498">
        <v>0.20835567745536548</v>
      </c>
      <c r="D498">
        <v>1.7667338027447372</v>
      </c>
      <c r="E498">
        <v>1.1576930087179753</v>
      </c>
      <c r="F498">
        <v>2.3153860174359506</v>
      </c>
      <c r="G498">
        <v>30.156055183692256</v>
      </c>
      <c r="H498">
        <v>4.308007883384608</v>
      </c>
      <c r="U498">
        <f t="shared" si="55"/>
        <v>0.13516420361923889</v>
      </c>
      <c r="V498">
        <f t="shared" si="56"/>
        <v>1.5582481052698116</v>
      </c>
      <c r="W498">
        <f t="shared" si="53"/>
        <v>4.7159411139877871</v>
      </c>
    </row>
    <row r="499" spans="1:23" x14ac:dyDescent="0.35">
      <c r="A499">
        <f t="shared" si="54"/>
        <v>20</v>
      </c>
      <c r="B499">
        <v>1</v>
      </c>
      <c r="C499">
        <v>0.29055944931126354</v>
      </c>
      <c r="D499">
        <v>1.1955017474759231</v>
      </c>
      <c r="E499">
        <v>1.348404549747984</v>
      </c>
      <c r="F499">
        <v>2.6968090994959679</v>
      </c>
      <c r="G499">
        <v>21.624439756040033</v>
      </c>
      <c r="H499">
        <v>3.0892056794342904</v>
      </c>
      <c r="U499">
        <f t="shared" si="55"/>
        <v>9.678031134686213E-2</v>
      </c>
      <c r="V499">
        <f t="shared" si="56"/>
        <v>1.5617363149497965</v>
      </c>
      <c r="W499">
        <f t="shared" si="53"/>
        <v>4.9101408646977802</v>
      </c>
    </row>
  </sheetData>
  <pageMargins left="0.7" right="0.7" top="0.75" bottom="0.75" header="0.3" footer="0.3"/>
  <pageSetup paperSize="9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r:id="rId5">
            <anchor moveWithCells="1" sizeWithCells="1">
              <from>
                <xdr:col>6</xdr:col>
                <xdr:colOff>723900</xdr:colOff>
                <xdr:row>8</xdr:row>
                <xdr:rowOff>12700</xdr:rowOff>
              </from>
              <to>
                <xdr:col>8</xdr:col>
                <xdr:colOff>127000</xdr:colOff>
                <xdr:row>10</xdr:row>
                <xdr:rowOff>177800</xdr:rowOff>
              </to>
            </anchor>
          </objectPr>
        </oleObject>
      </mc:Choice>
      <mc:Fallback>
        <oleObject progId="Equation.3" shapeId="1026" r:id="rId4"/>
      </mc:Fallback>
    </mc:AlternateContent>
    <mc:AlternateContent xmlns:mc="http://schemas.openxmlformats.org/markup-compatibility/2006">
      <mc:Choice Requires="x14">
        <oleObject progId="Equation.3" shapeId="1027" r:id="rId6">
          <objectPr defaultSize="0" autoPict="0" r:id="rId7">
            <anchor moveWithCells="1" sizeWithCells="1">
              <from>
                <xdr:col>8</xdr:col>
                <xdr:colOff>984250</xdr:colOff>
                <xdr:row>5</xdr:row>
                <xdr:rowOff>82550</xdr:rowOff>
              </from>
              <to>
                <xdr:col>10</xdr:col>
                <xdr:colOff>400050</xdr:colOff>
                <xdr:row>8</xdr:row>
                <xdr:rowOff>95250</xdr:rowOff>
              </to>
            </anchor>
          </objectPr>
        </oleObject>
      </mc:Choice>
      <mc:Fallback>
        <oleObject progId="Equation.3" shapeId="1027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146"/>
  <sheetViews>
    <sheetView workbookViewId="0">
      <selection activeCell="C76" sqref="C76"/>
    </sheetView>
  </sheetViews>
  <sheetFormatPr defaultRowHeight="14.5" x14ac:dyDescent="0.35"/>
  <sheetData>
    <row r="4" spans="2:10" x14ac:dyDescent="0.35">
      <c r="B4" s="2" t="s">
        <v>69</v>
      </c>
    </row>
    <row r="5" spans="2:10" x14ac:dyDescent="0.35">
      <c r="B5" s="11" t="s">
        <v>68</v>
      </c>
      <c r="E5" t="s">
        <v>33</v>
      </c>
    </row>
    <row r="6" spans="2:10" x14ac:dyDescent="0.35">
      <c r="B6" s="11">
        <f>3</f>
        <v>3</v>
      </c>
      <c r="C6" t="s">
        <v>27</v>
      </c>
      <c r="D6" t="s">
        <v>28</v>
      </c>
      <c r="E6" t="s">
        <v>12</v>
      </c>
      <c r="F6" t="s">
        <v>25</v>
      </c>
      <c r="G6" t="s">
        <v>30</v>
      </c>
      <c r="H6" s="3" t="s">
        <v>29</v>
      </c>
      <c r="J6" s="3" t="s">
        <v>31</v>
      </c>
    </row>
    <row r="7" spans="2:10" x14ac:dyDescent="0.35">
      <c r="C7">
        <f>(2*3.14)/B6</f>
        <v>2.0933333333333333</v>
      </c>
      <c r="D7">
        <v>0</v>
      </c>
      <c r="E7">
        <v>0.55579341232391688</v>
      </c>
      <c r="F7">
        <v>2</v>
      </c>
      <c r="G7">
        <v>1.8283730773019649</v>
      </c>
      <c r="H7">
        <f t="shared" ref="H7:H27" si="0">(($G$7/2)*$C$7)*((SINH(E7*($F$7+D7)))/(COSH(E7*$F$7)))</f>
        <v>1.5398039660266338</v>
      </c>
      <c r="J7">
        <f t="shared" ref="J7:J27" si="1">(($G$7/2)*$C$7)*((COSH(E7*($F$7+D7)))/(COSH($F$7*E7)))</f>
        <v>1.9136971542427232</v>
      </c>
    </row>
    <row r="8" spans="2:10" x14ac:dyDescent="0.35">
      <c r="D8">
        <f t="shared" ref="D8:D27" si="2">D7-0.1</f>
        <v>-0.1</v>
      </c>
      <c r="E8">
        <v>0.55579341232391699</v>
      </c>
      <c r="H8">
        <f t="shared" si="0"/>
        <v>1.4357660587252938</v>
      </c>
      <c r="J8">
        <f t="shared" si="1"/>
        <v>1.8310283230340569</v>
      </c>
    </row>
    <row r="9" spans="2:10" x14ac:dyDescent="0.35">
      <c r="D9">
        <f t="shared" si="2"/>
        <v>-0.2</v>
      </c>
      <c r="E9">
        <v>0.55579341232391688</v>
      </c>
      <c r="H9">
        <f t="shared" si="0"/>
        <v>1.336164465307442</v>
      </c>
      <c r="J9">
        <f t="shared" si="1"/>
        <v>1.7540171101547641</v>
      </c>
    </row>
    <row r="10" spans="2:10" x14ac:dyDescent="0.35">
      <c r="D10">
        <f t="shared" si="2"/>
        <v>-0.30000000000000004</v>
      </c>
      <c r="E10">
        <v>0.55579341232391688</v>
      </c>
      <c r="H10">
        <f t="shared" si="0"/>
        <v>1.240691430948391</v>
      </c>
      <c r="J10">
        <f t="shared" si="1"/>
        <v>1.6824255618582693</v>
      </c>
    </row>
    <row r="11" spans="2:10" x14ac:dyDescent="0.35">
      <c r="D11">
        <f t="shared" si="2"/>
        <v>-0.4</v>
      </c>
      <c r="E11">
        <v>0.55579341232391688</v>
      </c>
      <c r="H11">
        <f t="shared" si="0"/>
        <v>1.1490519574865297</v>
      </c>
      <c r="J11">
        <f t="shared" si="1"/>
        <v>1.6160324703943829</v>
      </c>
    </row>
    <row r="12" spans="2:10" x14ac:dyDescent="0.35">
      <c r="D12">
        <f t="shared" si="2"/>
        <v>-0.5</v>
      </c>
      <c r="E12">
        <v>0.55579341232391688</v>
      </c>
      <c r="H12">
        <f t="shared" si="0"/>
        <v>1.0609628919207654</v>
      </c>
      <c r="J12">
        <f t="shared" si="1"/>
        <v>1.5546326905086683</v>
      </c>
    </row>
    <row r="13" spans="2:10" x14ac:dyDescent="0.35">
      <c r="D13">
        <f t="shared" si="2"/>
        <v>-0.6</v>
      </c>
      <c r="E13">
        <v>0.55579341232391688</v>
      </c>
      <c r="H13">
        <f t="shared" si="0"/>
        <v>0.9761520515078328</v>
      </c>
      <c r="J13">
        <f t="shared" si="1"/>
        <v>1.4980365055726437</v>
      </c>
    </row>
    <row r="14" spans="2:10" x14ac:dyDescent="0.35">
      <c r="D14">
        <f t="shared" si="2"/>
        <v>-0.7</v>
      </c>
      <c r="E14">
        <v>0.55579341232391688</v>
      </c>
      <c r="H14">
        <f t="shared" si="0"/>
        <v>0.89435738275614207</v>
      </c>
      <c r="J14">
        <f t="shared" si="1"/>
        <v>1.4460690413862551</v>
      </c>
    </row>
    <row r="15" spans="2:10" x14ac:dyDescent="0.35">
      <c r="D15">
        <f t="shared" si="2"/>
        <v>-0.79999999999999993</v>
      </c>
      <c r="E15">
        <v>0.55579341232391688</v>
      </c>
      <c r="H15">
        <f t="shared" si="0"/>
        <v>0.81532615171758716</v>
      </c>
      <c r="J15">
        <f t="shared" si="1"/>
        <v>1.3985697258413528</v>
      </c>
    </row>
    <row r="16" spans="2:10" x14ac:dyDescent="0.35">
      <c r="D16">
        <f t="shared" si="2"/>
        <v>-0.89999999999999991</v>
      </c>
      <c r="E16">
        <v>0.55579341232391688</v>
      </c>
      <c r="H16">
        <f t="shared" si="0"/>
        <v>0.73881416307542047</v>
      </c>
      <c r="J16">
        <f t="shared" si="1"/>
        <v>1.3553917927766055</v>
      </c>
    </row>
    <row r="17" spans="4:10" x14ac:dyDescent="0.35">
      <c r="D17">
        <f t="shared" si="2"/>
        <v>-0.99999999999999989</v>
      </c>
      <c r="E17">
        <v>0.55579341232391688</v>
      </c>
      <c r="H17">
        <f t="shared" si="0"/>
        <v>0.66458500561529155</v>
      </c>
      <c r="J17">
        <f t="shared" si="1"/>
        <v>1.316401828490839</v>
      </c>
    </row>
    <row r="18" spans="4:10" x14ac:dyDescent="0.35">
      <c r="D18">
        <f t="shared" si="2"/>
        <v>-1.0999999999999999</v>
      </c>
      <c r="E18">
        <v>0.55579341232391688</v>
      </c>
      <c r="H18">
        <f t="shared" si="0"/>
        <v>0.59240932174805949</v>
      </c>
      <c r="J18">
        <f t="shared" si="1"/>
        <v>1.2814793595135827</v>
      </c>
    </row>
    <row r="19" spans="4:10" x14ac:dyDescent="0.35">
      <c r="D19">
        <f t="shared" si="2"/>
        <v>-1.2</v>
      </c>
      <c r="E19">
        <v>0.55579341232391688</v>
      </c>
      <c r="H19">
        <f t="shared" si="0"/>
        <v>0.52206409882730787</v>
      </c>
      <c r="J19">
        <f t="shared" si="1"/>
        <v>1.250516480359102</v>
      </c>
    </row>
    <row r="20" spans="4:10" x14ac:dyDescent="0.35">
      <c r="D20">
        <f t="shared" si="2"/>
        <v>-1.3</v>
      </c>
      <c r="E20">
        <v>0.55579341232391688</v>
      </c>
      <c r="H20">
        <f t="shared" si="0"/>
        <v>0.45333198007183684</v>
      </c>
      <c r="J20">
        <f t="shared" si="1"/>
        <v>1.2234175201137176</v>
      </c>
    </row>
    <row r="21" spans="4:10" x14ac:dyDescent="0.35">
      <c r="D21">
        <f t="shared" si="2"/>
        <v>-1.4000000000000001</v>
      </c>
      <c r="E21">
        <v>0.55579341232391688</v>
      </c>
      <c r="H21">
        <f t="shared" si="0"/>
        <v>0.38600059296397693</v>
      </c>
      <c r="J21">
        <f t="shared" si="1"/>
        <v>1.2000987468262305</v>
      </c>
    </row>
    <row r="22" spans="4:10" x14ac:dyDescent="0.35">
      <c r="D22">
        <f t="shared" si="2"/>
        <v>-1.5000000000000002</v>
      </c>
      <c r="E22">
        <v>0.55579341232391688</v>
      </c>
      <c r="H22">
        <f t="shared" si="0"/>
        <v>0.31986189304857043</v>
      </c>
      <c r="J22">
        <f t="shared" si="1"/>
        <v>1.1804881087880394</v>
      </c>
    </row>
    <row r="23" spans="4:10" x14ac:dyDescent="0.35">
      <c r="D23">
        <f t="shared" si="2"/>
        <v>-1.6000000000000003</v>
      </c>
      <c r="E23">
        <v>0.55579341232391688</v>
      </c>
      <c r="H23">
        <f t="shared" si="0"/>
        <v>0.25471152110505518</v>
      </c>
      <c r="J23">
        <f t="shared" si="1"/>
        <v>1.1645250119035646</v>
      </c>
    </row>
    <row r="24" spans="4:10" x14ac:dyDescent="0.35">
      <c r="D24">
        <f t="shared" si="2"/>
        <v>-1.7000000000000004</v>
      </c>
      <c r="E24">
        <v>0.55579341232391688</v>
      </c>
      <c r="H24">
        <f t="shared" si="0"/>
        <v>0.19034817170640092</v>
      </c>
      <c r="J24">
        <f t="shared" si="1"/>
        <v>1.1521601324630686</v>
      </c>
    </row>
    <row r="25" spans="4:10" x14ac:dyDescent="0.35">
      <c r="D25">
        <f t="shared" si="2"/>
        <v>-1.8000000000000005</v>
      </c>
      <c r="E25">
        <v>0.55579341232391688</v>
      </c>
      <c r="H25">
        <f t="shared" si="0"/>
        <v>0.12657297121383482</v>
      </c>
      <c r="J25">
        <f t="shared" si="1"/>
        <v>1.1433552647393745</v>
      </c>
    </row>
    <row r="26" spans="4:10" x14ac:dyDescent="0.35">
      <c r="D26">
        <f t="shared" si="2"/>
        <v>-1.9000000000000006</v>
      </c>
      <c r="E26">
        <v>0.55579341232391688</v>
      </c>
      <c r="H26">
        <f t="shared" si="0"/>
        <v>6.3188863285449329E-2</v>
      </c>
      <c r="J26">
        <f t="shared" si="1"/>
        <v>1.1380832029375769</v>
      </c>
    </row>
    <row r="27" spans="4:10" x14ac:dyDescent="0.35">
      <c r="D27">
        <f t="shared" si="2"/>
        <v>-2.0000000000000004</v>
      </c>
      <c r="E27">
        <v>0.55579341232391688</v>
      </c>
      <c r="H27">
        <f t="shared" si="0"/>
        <v>-2.8047050285628292E-16</v>
      </c>
      <c r="J27">
        <f t="shared" si="1"/>
        <v>1.1363276571329886</v>
      </c>
    </row>
    <row r="29" spans="4:10" x14ac:dyDescent="0.35">
      <c r="E29" s="4" t="s">
        <v>32</v>
      </c>
    </row>
    <row r="30" spans="4:10" x14ac:dyDescent="0.35">
      <c r="D30">
        <f>-2</f>
        <v>-2</v>
      </c>
      <c r="E30">
        <v>0.4471448364803568</v>
      </c>
      <c r="F30">
        <v>100</v>
      </c>
      <c r="G30">
        <v>2</v>
      </c>
      <c r="H30">
        <f t="shared" ref="H30:H47" si="3">(($G$30/2)*$C$7)*((SINH(E30*($F$30+D30)))/(COSH(E30*$F$30)))</f>
        <v>0.85595970191666448</v>
      </c>
      <c r="J30">
        <f t="shared" ref="J30:J47" si="4">(($G$30/2)*$C$7)*((COSH(E30*($F$30+D30)))/(COSH($F$30*E30)))</f>
        <v>0.85595970191666448</v>
      </c>
    </row>
    <row r="31" spans="4:10" x14ac:dyDescent="0.35">
      <c r="D31">
        <f t="shared" ref="D31:D38" si="5">D30-1</f>
        <v>-3</v>
      </c>
      <c r="E31">
        <v>0.4471448364803568</v>
      </c>
      <c r="H31">
        <f t="shared" si="3"/>
        <v>0.54734453189271015</v>
      </c>
      <c r="J31">
        <f t="shared" si="4"/>
        <v>0.54734453189271015</v>
      </c>
    </row>
    <row r="32" spans="4:10" x14ac:dyDescent="0.35">
      <c r="D32">
        <f t="shared" si="5"/>
        <v>-4</v>
      </c>
      <c r="E32">
        <v>0.4471448364803568</v>
      </c>
      <c r="H32">
        <f t="shared" si="3"/>
        <v>0.35000016463627565</v>
      </c>
      <c r="J32">
        <f t="shared" si="4"/>
        <v>0.35000016463627565</v>
      </c>
    </row>
    <row r="33" spans="4:13" x14ac:dyDescent="0.35">
      <c r="D33">
        <f t="shared" si="5"/>
        <v>-5</v>
      </c>
      <c r="E33">
        <v>0.4471448364803568</v>
      </c>
      <c r="H33">
        <f t="shared" si="3"/>
        <v>0.22380805526971356</v>
      </c>
      <c r="J33">
        <f t="shared" si="4"/>
        <v>0.22380805526971356</v>
      </c>
    </row>
    <row r="34" spans="4:13" x14ac:dyDescent="0.35">
      <c r="D34">
        <f t="shared" si="5"/>
        <v>-6</v>
      </c>
      <c r="E34">
        <v>0.4471448364803568</v>
      </c>
      <c r="H34">
        <f t="shared" si="3"/>
        <v>0.14311434869085191</v>
      </c>
      <c r="J34">
        <f t="shared" si="4"/>
        <v>0.14311434869085191</v>
      </c>
    </row>
    <row r="35" spans="4:13" x14ac:dyDescent="0.35">
      <c r="D35">
        <f t="shared" si="5"/>
        <v>-7</v>
      </c>
      <c r="E35">
        <v>0.4471448364803568</v>
      </c>
      <c r="H35">
        <f t="shared" si="3"/>
        <v>9.1514654271598939E-2</v>
      </c>
      <c r="J35">
        <f t="shared" si="4"/>
        <v>9.1514654271598939E-2</v>
      </c>
    </row>
    <row r="36" spans="4:13" x14ac:dyDescent="0.35">
      <c r="D36">
        <f t="shared" si="5"/>
        <v>-8</v>
      </c>
      <c r="E36">
        <v>0.4471448364803568</v>
      </c>
      <c r="H36">
        <f t="shared" si="3"/>
        <v>5.851916333379939E-2</v>
      </c>
      <c r="J36">
        <f t="shared" si="4"/>
        <v>5.851916333379939E-2</v>
      </c>
    </row>
    <row r="37" spans="4:13" x14ac:dyDescent="0.35">
      <c r="D37">
        <f t="shared" si="5"/>
        <v>-9</v>
      </c>
      <c r="E37">
        <v>0.4471448364803568</v>
      </c>
      <c r="H37">
        <f t="shared" si="3"/>
        <v>3.7420154231524408E-2</v>
      </c>
      <c r="J37">
        <f t="shared" si="4"/>
        <v>3.7420154231524408E-2</v>
      </c>
    </row>
    <row r="38" spans="4:13" x14ac:dyDescent="0.35">
      <c r="D38">
        <f t="shared" si="5"/>
        <v>-10</v>
      </c>
      <c r="E38">
        <v>0.4471448364803568</v>
      </c>
      <c r="H38">
        <f t="shared" si="3"/>
        <v>2.3928365734209329E-2</v>
      </c>
      <c r="J38">
        <f t="shared" si="4"/>
        <v>2.3928365734209329E-2</v>
      </c>
    </row>
    <row r="39" spans="4:13" x14ac:dyDescent="0.35">
      <c r="D39">
        <f t="shared" ref="D39:D47" si="6">D38-10</f>
        <v>-20</v>
      </c>
      <c r="E39">
        <v>0.4471448364803568</v>
      </c>
      <c r="H39">
        <f t="shared" si="3"/>
        <v>2.7351911785513712E-4</v>
      </c>
      <c r="J39">
        <f t="shared" si="4"/>
        <v>2.7351911785513712E-4</v>
      </c>
    </row>
    <row r="40" spans="4:13" x14ac:dyDescent="0.35">
      <c r="D40">
        <f t="shared" si="6"/>
        <v>-30</v>
      </c>
      <c r="E40">
        <v>0.4471448364803568</v>
      </c>
      <c r="H40">
        <f t="shared" si="3"/>
        <v>3.1265280990458728E-6</v>
      </c>
      <c r="J40">
        <f t="shared" si="4"/>
        <v>3.1265280990458728E-6</v>
      </c>
    </row>
    <row r="41" spans="4:13" x14ac:dyDescent="0.35">
      <c r="D41">
        <f t="shared" si="6"/>
        <v>-40</v>
      </c>
      <c r="E41">
        <v>0.4471448364803568</v>
      </c>
      <c r="H41">
        <f t="shared" si="3"/>
        <v>3.5738554696935741E-8</v>
      </c>
      <c r="J41">
        <f t="shared" si="4"/>
        <v>3.5738554696935741E-8</v>
      </c>
    </row>
    <row r="42" spans="4:13" x14ac:dyDescent="0.35">
      <c r="D42">
        <f t="shared" si="6"/>
        <v>-50</v>
      </c>
      <c r="E42">
        <v>0.4471448364803568</v>
      </c>
      <c r="H42">
        <f t="shared" si="3"/>
        <v>4.0851841127404106E-10</v>
      </c>
      <c r="J42">
        <f t="shared" si="4"/>
        <v>4.0851841127404106E-10</v>
      </c>
    </row>
    <row r="43" spans="4:13" x14ac:dyDescent="0.35">
      <c r="D43">
        <f t="shared" si="6"/>
        <v>-60</v>
      </c>
      <c r="E43">
        <v>0.4471448364803568</v>
      </c>
      <c r="H43">
        <f t="shared" si="3"/>
        <v>4.6696709971927219E-12</v>
      </c>
      <c r="J43">
        <f t="shared" si="4"/>
        <v>4.6696709971927243E-12</v>
      </c>
    </row>
    <row r="44" spans="4:13" x14ac:dyDescent="0.35">
      <c r="D44">
        <f t="shared" si="6"/>
        <v>-70</v>
      </c>
      <c r="E44">
        <v>0.4471448364803568</v>
      </c>
      <c r="H44">
        <f t="shared" si="3"/>
        <v>5.3377832235195093E-14</v>
      </c>
      <c r="J44">
        <f t="shared" si="4"/>
        <v>5.3377832235433247E-14</v>
      </c>
    </row>
    <row r="45" spans="4:13" x14ac:dyDescent="0.35">
      <c r="D45">
        <f t="shared" si="6"/>
        <v>-80</v>
      </c>
      <c r="E45">
        <v>0.4471448364803568</v>
      </c>
      <c r="H45">
        <f t="shared" si="3"/>
        <v>6.101485366337784E-16</v>
      </c>
      <c r="J45">
        <f t="shared" si="4"/>
        <v>6.1014855746737136E-16</v>
      </c>
      <c r="M45" t="s">
        <v>34</v>
      </c>
    </row>
    <row r="46" spans="4:13" x14ac:dyDescent="0.35">
      <c r="D46">
        <f t="shared" si="6"/>
        <v>-90</v>
      </c>
      <c r="E46">
        <v>0.4471448364803568</v>
      </c>
      <c r="H46">
        <f t="shared" si="3"/>
        <v>6.9735429647033476E-18</v>
      </c>
      <c r="J46">
        <f t="shared" si="4"/>
        <v>6.9753655569743154E-18</v>
      </c>
    </row>
    <row r="47" spans="4:13" x14ac:dyDescent="0.35">
      <c r="D47">
        <f t="shared" si="6"/>
        <v>-100</v>
      </c>
      <c r="E47">
        <v>0.4471448364803568</v>
      </c>
      <c r="H47">
        <f t="shared" si="3"/>
        <v>0</v>
      </c>
      <c r="J47">
        <f t="shared" si="4"/>
        <v>1.5944645765910822E-19</v>
      </c>
    </row>
    <row r="50" spans="2:10" x14ac:dyDescent="0.35">
      <c r="B50" t="s">
        <v>35</v>
      </c>
      <c r="E50" t="s">
        <v>33</v>
      </c>
    </row>
    <row r="51" spans="2:10" x14ac:dyDescent="0.35">
      <c r="C51" t="s">
        <v>27</v>
      </c>
      <c r="D51" t="s">
        <v>28</v>
      </c>
      <c r="E51" t="s">
        <v>12</v>
      </c>
      <c r="F51" t="s">
        <v>25</v>
      </c>
      <c r="G51" t="s">
        <v>30</v>
      </c>
      <c r="H51" t="s">
        <v>29</v>
      </c>
      <c r="J51" t="s">
        <v>31</v>
      </c>
    </row>
    <row r="52" spans="2:10" x14ac:dyDescent="0.35">
      <c r="C52">
        <f>(2*3.14)/7</f>
        <v>0.89714285714285713</v>
      </c>
      <c r="D52">
        <v>0</v>
      </c>
      <c r="E52">
        <v>8.213029233354216E-2</v>
      </c>
      <c r="F52">
        <v>2</v>
      </c>
      <c r="G52">
        <v>2.3153860174359506</v>
      </c>
      <c r="H52">
        <f t="shared" ref="H52:H72" si="7">(($G$52/2)*$C$52)*((SINH(E52*($F$52+D52)))/(COSH(E52*$F$52)))</f>
        <v>0.16908567147669543</v>
      </c>
      <c r="J52">
        <f t="shared" ref="J52:J72" si="8">(($G$52/2)*$C$52)*((COSH(E52*($F$52+D52)))/(COSH($F$52*E52)))</f>
        <v>1.0386160135355549</v>
      </c>
    </row>
    <row r="53" spans="2:10" x14ac:dyDescent="0.35">
      <c r="D53">
        <f t="shared" ref="D53:D72" si="9">D52-0.1</f>
        <v>-0.1</v>
      </c>
      <c r="E53">
        <v>8.213029233354216E-2</v>
      </c>
      <c r="H53">
        <f t="shared" si="7"/>
        <v>0.16056109466776852</v>
      </c>
      <c r="J53">
        <f t="shared" si="8"/>
        <v>1.037262321881343</v>
      </c>
    </row>
    <row r="54" spans="2:10" x14ac:dyDescent="0.35">
      <c r="D54">
        <f t="shared" si="9"/>
        <v>-0.2</v>
      </c>
      <c r="E54">
        <v>8.213029233354216E-2</v>
      </c>
      <c r="H54">
        <f t="shared" si="7"/>
        <v>0.15204734838358677</v>
      </c>
      <c r="J54">
        <f t="shared" si="8"/>
        <v>1.035978597956658</v>
      </c>
    </row>
    <row r="55" spans="2:10" x14ac:dyDescent="0.35">
      <c r="D55">
        <f t="shared" si="9"/>
        <v>-0.30000000000000004</v>
      </c>
      <c r="E55">
        <v>8.213029233354216E-2</v>
      </c>
      <c r="H55">
        <f t="shared" si="7"/>
        <v>0.14354385833596389</v>
      </c>
      <c r="J55">
        <f t="shared" si="8"/>
        <v>1.0347647551688925</v>
      </c>
    </row>
    <row r="56" spans="2:10" x14ac:dyDescent="0.35">
      <c r="D56">
        <f t="shared" si="9"/>
        <v>-0.4</v>
      </c>
      <c r="E56">
        <v>8.213029233354216E-2</v>
      </c>
      <c r="H56">
        <f t="shared" si="7"/>
        <v>0.13505005092854053</v>
      </c>
      <c r="J56">
        <f t="shared" si="8"/>
        <v>1.0336207116392184</v>
      </c>
    </row>
    <row r="57" spans="2:10" x14ac:dyDescent="0.35">
      <c r="D57">
        <f t="shared" si="9"/>
        <v>-0.5</v>
      </c>
      <c r="E57">
        <v>8.213029233354216E-2</v>
      </c>
      <c r="H57">
        <f t="shared" si="7"/>
        <v>0.12656535321809217</v>
      </c>
      <c r="J57">
        <f t="shared" si="8"/>
        <v>1.0325463901970622</v>
      </c>
    </row>
    <row r="58" spans="2:10" x14ac:dyDescent="0.35">
      <c r="D58">
        <f t="shared" si="9"/>
        <v>-0.6</v>
      </c>
      <c r="E58">
        <v>8.213029233354216E-2</v>
      </c>
      <c r="H58">
        <f t="shared" si="7"/>
        <v>0.11808919287588188</v>
      </c>
      <c r="J58">
        <f t="shared" si="8"/>
        <v>1.0315417183748994</v>
      </c>
    </row>
    <row r="59" spans="2:10" x14ac:dyDescent="0.35">
      <c r="D59">
        <f t="shared" si="9"/>
        <v>-0.7</v>
      </c>
      <c r="E59">
        <v>8.213029233354216E-2</v>
      </c>
      <c r="H59">
        <f t="shared" si="7"/>
        <v>0.10962099814905436</v>
      </c>
      <c r="J59">
        <f t="shared" si="8"/>
        <v>1.0306066284033681</v>
      </c>
    </row>
    <row r="60" spans="2:10" x14ac:dyDescent="0.35">
      <c r="D60">
        <f t="shared" si="9"/>
        <v>-0.79999999999999993</v>
      </c>
      <c r="E60">
        <v>8.213029233354216E-2</v>
      </c>
      <c r="H60">
        <f t="shared" si="7"/>
        <v>0.1011601978220688</v>
      </c>
      <c r="J60">
        <f t="shared" si="8"/>
        <v>1.0297410572066956</v>
      </c>
    </row>
    <row r="61" spans="2:10" x14ac:dyDescent="0.35">
      <c r="D61">
        <f t="shared" si="9"/>
        <v>-0.89999999999999991</v>
      </c>
      <c r="E61">
        <v>8.213029233354216E-2</v>
      </c>
      <c r="H61">
        <f t="shared" si="7"/>
        <v>9.2706221178167736E-2</v>
      </c>
      <c r="J61">
        <f t="shared" si="8"/>
        <v>1.0289449463984448</v>
      </c>
    </row>
    <row r="62" spans="2:10" x14ac:dyDescent="0.35">
      <c r="D62">
        <f t="shared" si="9"/>
        <v>-0.99999999999999989</v>
      </c>
      <c r="E62">
        <v>8.213029233354216E-2</v>
      </c>
      <c r="H62">
        <f t="shared" si="7"/>
        <v>8.4258497960880155E-2</v>
      </c>
      <c r="J62">
        <f t="shared" si="8"/>
        <v>1.0282182422775752</v>
      </c>
    </row>
    <row r="63" spans="2:10" x14ac:dyDescent="0.35">
      <c r="D63">
        <f t="shared" si="9"/>
        <v>-1.0999999999999999</v>
      </c>
      <c r="E63">
        <v>8.213029233354216E-2</v>
      </c>
      <c r="H63">
        <f t="shared" si="7"/>
        <v>7.5816458335555115E-2</v>
      </c>
      <c r="J63">
        <f t="shared" si="8"/>
        <v>1.0275608958248219</v>
      </c>
    </row>
    <row r="64" spans="2:10" x14ac:dyDescent="0.35">
      <c r="D64">
        <f t="shared" si="9"/>
        <v>-1.2</v>
      </c>
      <c r="E64">
        <v>8.213029233354216E-2</v>
      </c>
      <c r="H64">
        <f t="shared" si="7"/>
        <v>6.7379532850923837E-2</v>
      </c>
      <c r="J64">
        <f t="shared" si="8"/>
        <v>1.0269728626993861</v>
      </c>
    </row>
    <row r="65" spans="4:10" x14ac:dyDescent="0.35">
      <c r="D65">
        <f t="shared" si="9"/>
        <v>-1.3</v>
      </c>
      <c r="E65">
        <v>8.213029233354216E-2</v>
      </c>
      <c r="H65">
        <f t="shared" si="7"/>
        <v>5.894715240068811E-2</v>
      </c>
      <c r="J65">
        <f t="shared" si="8"/>
        <v>1.0264541032359475</v>
      </c>
    </row>
    <row r="66" spans="4:10" x14ac:dyDescent="0.35">
      <c r="D66">
        <f t="shared" si="9"/>
        <v>-1.4000000000000001</v>
      </c>
      <c r="E66">
        <v>8.213029233354216E-2</v>
      </c>
      <c r="H66">
        <f t="shared" si="7"/>
        <v>5.0518748185131412E-2</v>
      </c>
      <c r="J66">
        <f t="shared" si="8"/>
        <v>1.026004582441987</v>
      </c>
    </row>
    <row r="67" spans="4:10" x14ac:dyDescent="0.35">
      <c r="D67">
        <f t="shared" si="9"/>
        <v>-1.5000000000000002</v>
      </c>
      <c r="E67">
        <v>8.213029233354216E-2</v>
      </c>
      <c r="H67">
        <f t="shared" si="7"/>
        <v>4.2093751672751124E-2</v>
      </c>
      <c r="J67">
        <f t="shared" si="8"/>
        <v>1.0256242699954259</v>
      </c>
    </row>
    <row r="68" spans="4:10" x14ac:dyDescent="0.35">
      <c r="D68">
        <f t="shared" si="9"/>
        <v>-1.6000000000000003</v>
      </c>
      <c r="E68">
        <v>8.213029233354216E-2</v>
      </c>
      <c r="H68">
        <f t="shared" si="7"/>
        <v>3.3671594561908588E-2</v>
      </c>
      <c r="J68">
        <f t="shared" si="8"/>
        <v>1.0253131402425821</v>
      </c>
    </row>
    <row r="69" spans="4:10" x14ac:dyDescent="0.35">
      <c r="D69">
        <f t="shared" si="9"/>
        <v>-1.7000000000000004</v>
      </c>
      <c r="E69">
        <v>8.213029233354216E-2</v>
      </c>
      <c r="H69">
        <f t="shared" si="7"/>
        <v>2.5251708742494779E-2</v>
      </c>
      <c r="J69">
        <f t="shared" si="8"/>
        <v>1.0250711721964378</v>
      </c>
    </row>
    <row r="70" spans="4:10" x14ac:dyDescent="0.35">
      <c r="D70">
        <f t="shared" si="9"/>
        <v>-1.8000000000000005</v>
      </c>
      <c r="E70">
        <v>8.213029233354216E-2</v>
      </c>
      <c r="H70">
        <f t="shared" si="7"/>
        <v>1.6833526257608901E-2</v>
      </c>
      <c r="J70">
        <f t="shared" si="8"/>
        <v>1.0248983495352253</v>
      </c>
    </row>
    <row r="71" spans="4:10" x14ac:dyDescent="0.35">
      <c r="D71">
        <f t="shared" si="9"/>
        <v>-1.9000000000000006</v>
      </c>
      <c r="E71">
        <v>8.213029233354216E-2</v>
      </c>
      <c r="H71">
        <f t="shared" si="7"/>
        <v>8.4164792652472609E-3</v>
      </c>
      <c r="J71">
        <f t="shared" si="8"/>
        <v>1.0247946606013252</v>
      </c>
    </row>
    <row r="72" spans="4:10" x14ac:dyDescent="0.35">
      <c r="D72">
        <f t="shared" si="9"/>
        <v>-2.0000000000000004</v>
      </c>
      <c r="E72">
        <v>8.213029233354216E-2</v>
      </c>
      <c r="H72">
        <f t="shared" si="7"/>
        <v>-3.7376256069423926E-17</v>
      </c>
      <c r="J72">
        <f t="shared" si="8"/>
        <v>1.0247600984004808</v>
      </c>
    </row>
    <row r="75" spans="4:10" x14ac:dyDescent="0.35">
      <c r="E75" t="s">
        <v>32</v>
      </c>
    </row>
    <row r="76" spans="4:10" x14ac:dyDescent="0.35">
      <c r="D76">
        <f>-2</f>
        <v>-2</v>
      </c>
      <c r="E76">
        <v>0.20835567745536548</v>
      </c>
      <c r="F76">
        <v>100</v>
      </c>
      <c r="G76">
        <v>2</v>
      </c>
      <c r="H76">
        <f t="shared" ref="H76:H93" si="10">(($G$76/2)*$C$52)*((SINH(E76*($F$76+D76)))/(COSH(E76*$F$76)))</f>
        <v>0.59140659300997411</v>
      </c>
      <c r="J76">
        <f t="shared" ref="J76:J93" si="11">(($G$76/2)*$C$52)*((COSH(E76*($F$76+D76)))/(COSH($F$76*E76)))</f>
        <v>0.59140659300997411</v>
      </c>
    </row>
    <row r="77" spans="4:10" x14ac:dyDescent="0.35">
      <c r="D77">
        <f t="shared" ref="D77:D84" si="12">D76-1</f>
        <v>-3</v>
      </c>
      <c r="E77">
        <v>0.20835567745536548</v>
      </c>
      <c r="H77">
        <f t="shared" si="10"/>
        <v>0.4801737790365318</v>
      </c>
      <c r="J77">
        <f t="shared" si="11"/>
        <v>0.4801737790365318</v>
      </c>
    </row>
    <row r="78" spans="4:10" x14ac:dyDescent="0.35">
      <c r="D78">
        <f t="shared" si="12"/>
        <v>-4</v>
      </c>
      <c r="E78">
        <v>0.20835567745536548</v>
      </c>
      <c r="H78">
        <f t="shared" si="10"/>
        <v>0.38986183245058353</v>
      </c>
      <c r="J78">
        <f t="shared" si="11"/>
        <v>0.38986183245058353</v>
      </c>
    </row>
    <row r="79" spans="4:10" x14ac:dyDescent="0.35">
      <c r="D79">
        <f t="shared" si="12"/>
        <v>-5</v>
      </c>
      <c r="E79">
        <v>0.20835567745536548</v>
      </c>
      <c r="H79">
        <f t="shared" si="10"/>
        <v>0.31653591894729988</v>
      </c>
      <c r="J79">
        <f t="shared" si="11"/>
        <v>0.31653591894729988</v>
      </c>
    </row>
    <row r="80" spans="4:10" x14ac:dyDescent="0.35">
      <c r="D80">
        <f t="shared" si="12"/>
        <v>-6</v>
      </c>
      <c r="E80">
        <v>0.20835567745536548</v>
      </c>
      <c r="H80">
        <f t="shared" si="10"/>
        <v>0.25700127492349911</v>
      </c>
      <c r="J80">
        <f t="shared" si="11"/>
        <v>0.25700127492349911</v>
      </c>
    </row>
    <row r="81" spans="4:10" x14ac:dyDescent="0.35">
      <c r="D81">
        <f t="shared" si="12"/>
        <v>-7</v>
      </c>
      <c r="E81">
        <v>0.20835567745536548</v>
      </c>
      <c r="H81">
        <f t="shared" si="10"/>
        <v>0.20866401365116677</v>
      </c>
      <c r="J81">
        <f t="shared" si="11"/>
        <v>0.20866401365116677</v>
      </c>
    </row>
    <row r="82" spans="4:10" x14ac:dyDescent="0.35">
      <c r="D82">
        <f t="shared" si="12"/>
        <v>-8</v>
      </c>
      <c r="E82">
        <v>0.20835567745536548</v>
      </c>
      <c r="H82">
        <f t="shared" si="10"/>
        <v>0.16941811127580961</v>
      </c>
      <c r="J82">
        <f t="shared" si="11"/>
        <v>0.16941811127580961</v>
      </c>
    </row>
    <row r="83" spans="4:10" x14ac:dyDescent="0.35">
      <c r="D83">
        <f t="shared" si="12"/>
        <v>-9</v>
      </c>
      <c r="E83">
        <v>0.20835567745536548</v>
      </c>
      <c r="H83">
        <f t="shared" si="10"/>
        <v>0.13755364869117245</v>
      </c>
      <c r="J83">
        <f t="shared" si="11"/>
        <v>0.13755364869117245</v>
      </c>
    </row>
    <row r="84" spans="4:10" x14ac:dyDescent="0.35">
      <c r="D84">
        <f t="shared" si="12"/>
        <v>-10</v>
      </c>
      <c r="E84">
        <v>0.20835567745536548</v>
      </c>
      <c r="H84">
        <f t="shared" si="10"/>
        <v>0.11168231144692334</v>
      </c>
      <c r="J84">
        <f t="shared" si="11"/>
        <v>0.11168231144692334</v>
      </c>
    </row>
    <row r="85" spans="4:10" x14ac:dyDescent="0.35">
      <c r="D85">
        <f t="shared" ref="D85:D93" si="13">D84-10</f>
        <v>-20</v>
      </c>
      <c r="E85">
        <v>0.20835567745536548</v>
      </c>
      <c r="H85">
        <f t="shared" si="10"/>
        <v>1.3902957138677152E-2</v>
      </c>
      <c r="J85">
        <f t="shared" si="11"/>
        <v>1.3902957138677242E-2</v>
      </c>
    </row>
    <row r="86" spans="4:10" x14ac:dyDescent="0.35">
      <c r="D86">
        <f t="shared" si="13"/>
        <v>-30</v>
      </c>
      <c r="E86">
        <v>0.20835567745536548</v>
      </c>
      <c r="H86">
        <f t="shared" si="10"/>
        <v>1.7307325994207739E-3</v>
      </c>
      <c r="J86">
        <f t="shared" si="11"/>
        <v>1.7307325994215168E-3</v>
      </c>
    </row>
    <row r="87" spans="4:10" x14ac:dyDescent="0.35">
      <c r="D87">
        <f t="shared" si="13"/>
        <v>-40</v>
      </c>
      <c r="E87">
        <v>0.20835567745536548</v>
      </c>
      <c r="H87">
        <f t="shared" si="10"/>
        <v>2.1545310834084809E-4</v>
      </c>
      <c r="J87">
        <f t="shared" si="11"/>
        <v>2.1545310834681649E-4</v>
      </c>
    </row>
    <row r="88" spans="4:10" x14ac:dyDescent="0.35">
      <c r="D88">
        <f t="shared" si="13"/>
        <v>-50</v>
      </c>
      <c r="E88">
        <v>0.20835567745536548</v>
      </c>
      <c r="H88">
        <f t="shared" si="10"/>
        <v>2.6821036287786784E-5</v>
      </c>
      <c r="J88">
        <f t="shared" si="11"/>
        <v>2.6821036335730692E-5</v>
      </c>
    </row>
    <row r="89" spans="4:10" x14ac:dyDescent="0.35">
      <c r="D89">
        <f t="shared" si="13"/>
        <v>-60</v>
      </c>
      <c r="E89">
        <v>0.20835567745536548</v>
      </c>
      <c r="H89">
        <f t="shared" si="10"/>
        <v>3.3388608448369589E-6</v>
      </c>
      <c r="J89">
        <f t="shared" si="11"/>
        <v>3.3388612299698957E-6</v>
      </c>
    </row>
    <row r="90" spans="4:10" x14ac:dyDescent="0.35">
      <c r="D90">
        <f t="shared" si="13"/>
        <v>-70</v>
      </c>
      <c r="E90">
        <v>0.20835567745536548</v>
      </c>
      <c r="H90">
        <f t="shared" si="10"/>
        <v>4.1564208811570654E-7</v>
      </c>
      <c r="J90">
        <f t="shared" si="11"/>
        <v>4.1564518188461361E-7</v>
      </c>
    </row>
    <row r="91" spans="4:10" x14ac:dyDescent="0.35">
      <c r="D91">
        <f t="shared" si="13"/>
        <v>-80</v>
      </c>
      <c r="E91">
        <v>0.20835567745536548</v>
      </c>
      <c r="H91">
        <f t="shared" si="10"/>
        <v>5.1729658807952909E-8</v>
      </c>
      <c r="J91">
        <f t="shared" si="11"/>
        <v>5.1754511021707571E-8</v>
      </c>
    </row>
    <row r="92" spans="4:10" x14ac:dyDescent="0.35">
      <c r="D92">
        <f t="shared" si="13"/>
        <v>-90</v>
      </c>
      <c r="E92">
        <v>0.20835567745536548</v>
      </c>
      <c r="H92">
        <f t="shared" si="10"/>
        <v>6.3413801759123748E-9</v>
      </c>
      <c r="J92">
        <f t="shared" si="11"/>
        <v>6.5410177529406547E-9</v>
      </c>
    </row>
    <row r="93" spans="4:10" x14ac:dyDescent="0.35">
      <c r="D93">
        <f t="shared" si="13"/>
        <v>-100</v>
      </c>
      <c r="E93">
        <v>0.20835567745536548</v>
      </c>
      <c r="H93">
        <f t="shared" si="10"/>
        <v>0</v>
      </c>
      <c r="J93">
        <f t="shared" si="11"/>
        <v>1.6036865993174416E-9</v>
      </c>
    </row>
    <row r="97" spans="2:10" x14ac:dyDescent="0.35">
      <c r="B97" s="2" t="s">
        <v>71</v>
      </c>
    </row>
    <row r="99" spans="2:10" x14ac:dyDescent="0.35">
      <c r="B99" t="s">
        <v>36</v>
      </c>
      <c r="E99" t="s">
        <v>33</v>
      </c>
    </row>
    <row r="100" spans="2:10" x14ac:dyDescent="0.35">
      <c r="C100" t="s">
        <v>27</v>
      </c>
      <c r="D100" t="s">
        <v>28</v>
      </c>
      <c r="E100" t="s">
        <v>12</v>
      </c>
      <c r="F100" t="s">
        <v>25</v>
      </c>
      <c r="G100" t="s">
        <v>30</v>
      </c>
      <c r="H100" s="3" t="s">
        <v>38</v>
      </c>
      <c r="I100" t="s">
        <v>39</v>
      </c>
      <c r="J100" t="s">
        <v>40</v>
      </c>
    </row>
    <row r="101" spans="2:10" x14ac:dyDescent="0.35">
      <c r="D101">
        <v>1</v>
      </c>
      <c r="H101">
        <f t="shared" ref="H101:H111" si="14">($C$114*($G$111/2))*(((COSH((2*3.14*(D101+$F$111)/$C$117))))/(COSH((2*3.14)/$C$117)))*(1)-($C$114*D101)</f>
        <v>1.141485060844226</v>
      </c>
    </row>
    <row r="102" spans="2:10" x14ac:dyDescent="0.35">
      <c r="D102">
        <v>0.9</v>
      </c>
      <c r="H102">
        <f t="shared" si="14"/>
        <v>1.1330225283459596</v>
      </c>
    </row>
    <row r="103" spans="2:10" x14ac:dyDescent="0.35">
      <c r="D103">
        <v>0.8</v>
      </c>
      <c r="H103">
        <f t="shared" si="14"/>
        <v>1.1307825954871165</v>
      </c>
    </row>
    <row r="104" spans="2:10" x14ac:dyDescent="0.35">
      <c r="D104">
        <v>0.7</v>
      </c>
      <c r="H104">
        <f t="shared" si="14"/>
        <v>1.1344555404300536</v>
      </c>
    </row>
    <row r="105" spans="2:10" x14ac:dyDescent="0.35">
      <c r="D105">
        <v>0.6</v>
      </c>
      <c r="H105">
        <f t="shared" si="14"/>
        <v>1.1437498927682992</v>
      </c>
    </row>
    <row r="106" spans="2:10" x14ac:dyDescent="0.35">
      <c r="D106">
        <v>0.5</v>
      </c>
      <c r="H106">
        <f t="shared" si="14"/>
        <v>1.1583915338373967</v>
      </c>
    </row>
    <row r="107" spans="2:10" x14ac:dyDescent="0.35">
      <c r="D107">
        <v>0.4</v>
      </c>
      <c r="H107">
        <f t="shared" si="14"/>
        <v>1.178122850585809</v>
      </c>
    </row>
    <row r="108" spans="2:10" x14ac:dyDescent="0.35">
      <c r="D108">
        <v>0.3</v>
      </c>
      <c r="H108">
        <f t="shared" si="14"/>
        <v>1.2027019403941213</v>
      </c>
    </row>
    <row r="109" spans="2:10" x14ac:dyDescent="0.35">
      <c r="D109">
        <v>0.2</v>
      </c>
      <c r="H109">
        <f t="shared" si="14"/>
        <v>1.2319018643880395</v>
      </c>
    </row>
    <row r="110" spans="2:10" x14ac:dyDescent="0.35">
      <c r="D110">
        <v>0.1</v>
      </c>
      <c r="H110">
        <f t="shared" si="14"/>
        <v>1.2655099469403572</v>
      </c>
    </row>
    <row r="111" spans="2:10" x14ac:dyDescent="0.35">
      <c r="C111">
        <f>(2*3.14)/3</f>
        <v>2.0933333333333333</v>
      </c>
      <c r="D111">
        <v>0</v>
      </c>
      <c r="E111">
        <v>0.55579341232391688</v>
      </c>
      <c r="F111">
        <v>2</v>
      </c>
      <c r="G111">
        <v>1.8283730773019649</v>
      </c>
      <c r="H111">
        <f t="shared" si="14"/>
        <v>1.3033271191996634</v>
      </c>
      <c r="I111">
        <f t="shared" ref="I111:I131" si="15">(($C$114*($G$111/2))*((COSH((2*3.14*(D111+$F$111)/$C$117)))/(COSH((2*3.14)/$C$117))))*(0)-($C$114*D111)</f>
        <v>0</v>
      </c>
      <c r="J111">
        <f t="shared" ref="J111:J131" si="16">(($C$114*($G$111/2))*((COSH((2*3.14*(D111+$F$111)/$C$117)))/(COSH((2*3.14)/$C$117))))*(-1)-($C$114*D111)</f>
        <v>-1.3033271191996634</v>
      </c>
    </row>
    <row r="112" spans="2:10" x14ac:dyDescent="0.35">
      <c r="D112">
        <f t="shared" ref="D112:D131" si="17">D111-0.1</f>
        <v>-0.1</v>
      </c>
      <c r="E112">
        <v>0.55579341232391699</v>
      </c>
      <c r="H112">
        <f t="shared" ref="H112:H131" si="18">(($C$114*($G$111/2))*((COSH((2*3.14*(D112+$F$111)/$C$117)))/(COSH((2*3.14)/$C$117))))*(1)-($C$114*D112)</f>
        <v>1.3451673046194188</v>
      </c>
      <c r="I112">
        <f t="shared" si="15"/>
        <v>9.8100000000000007E-2</v>
      </c>
      <c r="J112">
        <f t="shared" si="16"/>
        <v>-1.1489673046194187</v>
      </c>
    </row>
    <row r="113" spans="3:10" x14ac:dyDescent="0.35">
      <c r="C113" t="s">
        <v>37</v>
      </c>
      <c r="D113">
        <f t="shared" si="17"/>
        <v>-0.2</v>
      </c>
      <c r="E113">
        <v>0.55579341232391688</v>
      </c>
      <c r="H113">
        <f t="shared" si="18"/>
        <v>1.3908568445907246</v>
      </c>
      <c r="I113">
        <f t="shared" si="15"/>
        <v>0.19620000000000001</v>
      </c>
      <c r="J113">
        <f t="shared" si="16"/>
        <v>-0.99845684459072459</v>
      </c>
    </row>
    <row r="114" spans="3:10" x14ac:dyDescent="0.35">
      <c r="C114">
        <v>0.98099999999999998</v>
      </c>
      <c r="D114">
        <f t="shared" si="17"/>
        <v>-0.30000000000000004</v>
      </c>
      <c r="E114">
        <v>0.55579341232391688</v>
      </c>
      <c r="H114">
        <f t="shared" si="18"/>
        <v>1.4402339624058496</v>
      </c>
      <c r="I114">
        <f t="shared" si="15"/>
        <v>0.29430000000000006</v>
      </c>
      <c r="J114">
        <f t="shared" si="16"/>
        <v>-0.85163396240584954</v>
      </c>
    </row>
    <row r="115" spans="3:10" x14ac:dyDescent="0.35">
      <c r="D115">
        <f t="shared" si="17"/>
        <v>-0.4</v>
      </c>
      <c r="E115">
        <v>0.55579341232391688</v>
      </c>
      <c r="H115">
        <f t="shared" si="18"/>
        <v>1.4931482638979292</v>
      </c>
      <c r="I115">
        <f t="shared" si="15"/>
        <v>0.39240000000000003</v>
      </c>
      <c r="J115">
        <f t="shared" si="16"/>
        <v>-0.70834826389792904</v>
      </c>
    </row>
    <row r="116" spans="3:10" x14ac:dyDescent="0.35">
      <c r="C116" t="s">
        <v>13</v>
      </c>
      <c r="D116">
        <f t="shared" si="17"/>
        <v>-0.5</v>
      </c>
      <c r="E116">
        <v>0.55579341232391688</v>
      </c>
      <c r="H116">
        <f t="shared" si="18"/>
        <v>1.5494602732154412</v>
      </c>
      <c r="I116">
        <f t="shared" si="15"/>
        <v>0.49049999999999999</v>
      </c>
      <c r="J116">
        <f t="shared" si="16"/>
        <v>-0.56846027321544135</v>
      </c>
    </row>
    <row r="117" spans="3:10" x14ac:dyDescent="0.35">
      <c r="C117">
        <v>11.304893451161922</v>
      </c>
      <c r="D117">
        <f t="shared" si="17"/>
        <v>-0.6</v>
      </c>
      <c r="E117">
        <v>0.55579341232391688</v>
      </c>
      <c r="H117">
        <f t="shared" si="18"/>
        <v>1.6090410022985291</v>
      </c>
      <c r="I117">
        <f t="shared" si="15"/>
        <v>0.58860000000000001</v>
      </c>
      <c r="J117">
        <f t="shared" si="16"/>
        <v>-0.43184100229852906</v>
      </c>
    </row>
    <row r="118" spans="3:10" x14ac:dyDescent="0.35">
      <c r="D118">
        <f t="shared" si="17"/>
        <v>-0.7</v>
      </c>
      <c r="E118">
        <v>0.55579341232391688</v>
      </c>
      <c r="H118">
        <f t="shared" si="18"/>
        <v>1.6717715527282566</v>
      </c>
      <c r="I118">
        <f t="shared" si="15"/>
        <v>0.68669999999999998</v>
      </c>
      <c r="J118">
        <f t="shared" si="16"/>
        <v>-0.29837155272825666</v>
      </c>
    </row>
    <row r="119" spans="3:10" x14ac:dyDescent="0.35">
      <c r="D119">
        <f t="shared" si="17"/>
        <v>-0.79999999999999993</v>
      </c>
      <c r="E119">
        <v>0.55579341232391688</v>
      </c>
      <c r="H119">
        <f t="shared" si="18"/>
        <v>1.7375427487198167</v>
      </c>
      <c r="I119">
        <f t="shared" si="15"/>
        <v>0.78479999999999994</v>
      </c>
      <c r="J119">
        <f t="shared" si="16"/>
        <v>-0.16794274871981685</v>
      </c>
    </row>
    <row r="120" spans="3:10" x14ac:dyDescent="0.35">
      <c r="D120">
        <f t="shared" si="17"/>
        <v>-0.89999999999999991</v>
      </c>
      <c r="E120">
        <v>0.55579341232391688</v>
      </c>
      <c r="H120">
        <f t="shared" si="18"/>
        <v>1.806254800126843</v>
      </c>
      <c r="I120">
        <f t="shared" si="15"/>
        <v>0.88289999999999991</v>
      </c>
      <c r="J120">
        <f t="shared" si="16"/>
        <v>-4.0454800126843105E-2</v>
      </c>
    </row>
    <row r="121" spans="3:10" x14ac:dyDescent="0.35">
      <c r="D121">
        <f t="shared" si="17"/>
        <v>-0.99999999999999989</v>
      </c>
      <c r="E121">
        <v>0.55579341232391688</v>
      </c>
      <c r="H121">
        <f t="shared" si="18"/>
        <v>1.8778169944166136</v>
      </c>
      <c r="I121">
        <f t="shared" si="15"/>
        <v>0.98099999999999987</v>
      </c>
      <c r="J121">
        <f t="shared" si="16"/>
        <v>8.4183005583386095E-2</v>
      </c>
    </row>
    <row r="122" spans="3:10" x14ac:dyDescent="0.35">
      <c r="D122">
        <f t="shared" si="17"/>
        <v>-1.0999999999999999</v>
      </c>
      <c r="E122">
        <v>0.55579341232391688</v>
      </c>
      <c r="H122">
        <f t="shared" si="18"/>
        <v>1.9521474166653552</v>
      </c>
      <c r="I122">
        <f t="shared" si="15"/>
        <v>1.0790999999999999</v>
      </c>
      <c r="J122">
        <f t="shared" si="16"/>
        <v>0.20605258333464482</v>
      </c>
    </row>
    <row r="123" spans="3:10" x14ac:dyDescent="0.35">
      <c r="D123">
        <f t="shared" si="17"/>
        <v>-1.2</v>
      </c>
      <c r="E123">
        <v>0.55579341232391688</v>
      </c>
      <c r="H123">
        <f t="shared" si="18"/>
        <v>2.0291726967093506</v>
      </c>
      <c r="I123">
        <f t="shared" si="15"/>
        <v>1.1772</v>
      </c>
      <c r="J123">
        <f t="shared" si="16"/>
        <v>0.32522730329064953</v>
      </c>
    </row>
    <row r="124" spans="3:10" x14ac:dyDescent="0.35">
      <c r="D124">
        <f t="shared" si="17"/>
        <v>-1.3</v>
      </c>
      <c r="E124">
        <v>0.55579341232391688</v>
      </c>
      <c r="H124">
        <f t="shared" si="18"/>
        <v>2.1088277826713795</v>
      </c>
      <c r="I124">
        <f t="shared" si="15"/>
        <v>1.2753000000000001</v>
      </c>
      <c r="J124">
        <f t="shared" si="16"/>
        <v>0.4417722173286206</v>
      </c>
    </row>
    <row r="125" spans="3:10" x14ac:dyDescent="0.35">
      <c r="D125">
        <f t="shared" si="17"/>
        <v>-1.4000000000000001</v>
      </c>
      <c r="E125">
        <v>0.55579341232391688</v>
      </c>
      <c r="H125">
        <f t="shared" si="18"/>
        <v>2.1910557401634252</v>
      </c>
      <c r="I125">
        <f t="shared" si="15"/>
        <v>1.3734000000000002</v>
      </c>
      <c r="J125">
        <f t="shared" si="16"/>
        <v>0.55574425983657494</v>
      </c>
    </row>
    <row r="126" spans="3:10" x14ac:dyDescent="0.35">
      <c r="D126">
        <f t="shared" si="17"/>
        <v>-1.5000000000000002</v>
      </c>
      <c r="E126">
        <v>0.55579341232391688</v>
      </c>
      <c r="H126">
        <f t="shared" si="18"/>
        <v>2.2758075765458412</v>
      </c>
      <c r="I126">
        <f t="shared" si="15"/>
        <v>1.4715000000000003</v>
      </c>
      <c r="J126">
        <f t="shared" si="16"/>
        <v>0.66719242345415941</v>
      </c>
    </row>
    <row r="127" spans="3:10" x14ac:dyDescent="0.35">
      <c r="D127">
        <f t="shared" si="17"/>
        <v>-1.6000000000000003</v>
      </c>
      <c r="E127">
        <v>0.55579341232391688</v>
      </c>
      <c r="H127">
        <f t="shared" si="18"/>
        <v>2.3630420897005164</v>
      </c>
      <c r="I127">
        <f t="shared" si="15"/>
        <v>1.5696000000000003</v>
      </c>
      <c r="J127">
        <f t="shared" si="16"/>
        <v>0.776157910299484</v>
      </c>
    </row>
    <row r="128" spans="3:10" x14ac:dyDescent="0.35">
      <c r="D128">
        <f t="shared" si="17"/>
        <v>-1.7000000000000004</v>
      </c>
      <c r="E128">
        <v>0.55579341232391688</v>
      </c>
      <c r="H128">
        <f t="shared" si="18"/>
        <v>2.4527257408512462</v>
      </c>
      <c r="I128">
        <f t="shared" si="15"/>
        <v>1.6677000000000004</v>
      </c>
      <c r="J128">
        <f t="shared" si="16"/>
        <v>0.88267425914875464</v>
      </c>
    </row>
    <row r="129" spans="3:10" x14ac:dyDescent="0.35">
      <c r="D129">
        <f t="shared" si="17"/>
        <v>-1.8000000000000005</v>
      </c>
      <c r="E129">
        <v>0.55579341232391688</v>
      </c>
      <c r="H129">
        <f t="shared" si="18"/>
        <v>2.5448325510387306</v>
      </c>
      <c r="I129">
        <f t="shared" si="15"/>
        <v>1.7658000000000005</v>
      </c>
      <c r="J129">
        <f t="shared" si="16"/>
        <v>0.98676744896127033</v>
      </c>
    </row>
    <row r="130" spans="3:10" x14ac:dyDescent="0.35">
      <c r="D130">
        <f t="shared" si="17"/>
        <v>-1.9000000000000006</v>
      </c>
      <c r="E130">
        <v>0.55579341232391688</v>
      </c>
      <c r="H130">
        <f t="shared" si="18"/>
        <v>2.6393440209306585</v>
      </c>
      <c r="I130">
        <f t="shared" si="15"/>
        <v>1.8639000000000006</v>
      </c>
      <c r="J130">
        <f t="shared" si="16"/>
        <v>1.0884559790693429</v>
      </c>
    </row>
    <row r="131" spans="3:10" x14ac:dyDescent="0.35">
      <c r="D131">
        <f t="shared" si="17"/>
        <v>-2.0000000000000004</v>
      </c>
      <c r="E131">
        <v>0.55579341232391688</v>
      </c>
      <c r="H131">
        <f t="shared" si="18"/>
        <v>2.7362490737193426</v>
      </c>
      <c r="I131">
        <f t="shared" si="15"/>
        <v>1.9620000000000004</v>
      </c>
      <c r="J131">
        <f t="shared" si="16"/>
        <v>1.187750926280658</v>
      </c>
    </row>
    <row r="135" spans="3:10" x14ac:dyDescent="0.35">
      <c r="E135" t="s">
        <v>32</v>
      </c>
      <c r="H135" s="3" t="s">
        <v>38</v>
      </c>
    </row>
    <row r="136" spans="3:10" x14ac:dyDescent="0.35">
      <c r="C136" t="s">
        <v>13</v>
      </c>
      <c r="D136">
        <f>-2</f>
        <v>-2</v>
      </c>
      <c r="E136">
        <v>0.4471448364803568</v>
      </c>
      <c r="F136">
        <v>100</v>
      </c>
      <c r="G136">
        <v>2</v>
      </c>
      <c r="H136">
        <f t="shared" ref="H136:H146" si="19">(($C$114*($G$111/2))*((COSH((2*3.14*(D136+$F$111)/$C$137)))/(COSH((2*3.14)/$C$137))))*(1)-($C$114*D136)</f>
        <v>2.7761474146092615</v>
      </c>
    </row>
    <row r="137" spans="3:10" x14ac:dyDescent="0.35">
      <c r="C137">
        <v>14.05178992256038</v>
      </c>
      <c r="D137">
        <f t="shared" ref="D137:D144" si="20">D136-1</f>
        <v>-3</v>
      </c>
      <c r="E137">
        <v>0.4471448364803568</v>
      </c>
      <c r="H137">
        <f t="shared" si="19"/>
        <v>3.8398169944166138</v>
      </c>
    </row>
    <row r="138" spans="3:10" x14ac:dyDescent="0.35">
      <c r="D138">
        <f t="shared" si="20"/>
        <v>-4</v>
      </c>
      <c r="E138">
        <v>0.4471448364803568</v>
      </c>
      <c r="H138">
        <f t="shared" si="19"/>
        <v>5.0856144856123375</v>
      </c>
    </row>
    <row r="139" spans="3:10" x14ac:dyDescent="0.35">
      <c r="D139">
        <f t="shared" si="20"/>
        <v>-5</v>
      </c>
      <c r="E139">
        <v>0.4471448364803568</v>
      </c>
      <c r="H139">
        <f t="shared" si="19"/>
        <v>6.5673156465870628</v>
      </c>
    </row>
    <row r="140" spans="3:10" x14ac:dyDescent="0.35">
      <c r="D140">
        <f t="shared" si="20"/>
        <v>-6</v>
      </c>
      <c r="E140">
        <v>0.4471448364803568</v>
      </c>
      <c r="H140">
        <f t="shared" si="19"/>
        <v>8.3866041622461811</v>
      </c>
    </row>
    <row r="141" spans="3:10" x14ac:dyDescent="0.35">
      <c r="D141">
        <f t="shared" si="20"/>
        <v>-7</v>
      </c>
      <c r="E141">
        <v>0.4471448364803568</v>
      </c>
      <c r="H141">
        <f t="shared" si="19"/>
        <v>10.713721829353556</v>
      </c>
    </row>
    <row r="142" spans="3:10" x14ac:dyDescent="0.35">
      <c r="D142">
        <f t="shared" si="20"/>
        <v>-8</v>
      </c>
      <c r="E142">
        <v>0.4471448364803568</v>
      </c>
      <c r="H142">
        <f t="shared" si="19"/>
        <v>13.8220417002929</v>
      </c>
    </row>
    <row r="143" spans="3:10" x14ac:dyDescent="0.35">
      <c r="D143">
        <f t="shared" si="20"/>
        <v>-9</v>
      </c>
      <c r="E143">
        <v>0.4471448364803568</v>
      </c>
      <c r="H143">
        <f t="shared" si="19"/>
        <v>18.143585388572102</v>
      </c>
    </row>
    <row r="144" spans="3:10" x14ac:dyDescent="0.35">
      <c r="D144">
        <f t="shared" si="20"/>
        <v>-10</v>
      </c>
      <c r="E144">
        <v>0.4471448364803568</v>
      </c>
      <c r="H144">
        <f t="shared" si="19"/>
        <v>24.356759133853998</v>
      </c>
    </row>
    <row r="145" spans="4:8" x14ac:dyDescent="0.35">
      <c r="D145">
        <f>D144-10</f>
        <v>-20</v>
      </c>
      <c r="E145">
        <v>0.4471448364803568</v>
      </c>
      <c r="H145">
        <f t="shared" si="19"/>
        <v>1288.3426017998211</v>
      </c>
    </row>
    <row r="146" spans="4:8" x14ac:dyDescent="0.35">
      <c r="D146">
        <f>D145-10</f>
        <v>-30</v>
      </c>
      <c r="E146">
        <v>0.4471448364803568</v>
      </c>
      <c r="H146">
        <f t="shared" si="19"/>
        <v>110770.19251938911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topLeftCell="A25" workbookViewId="0">
      <selection activeCell="D109" sqref="D109"/>
    </sheetView>
  </sheetViews>
  <sheetFormatPr defaultRowHeight="14.5" x14ac:dyDescent="0.35"/>
  <sheetData>
    <row r="3" spans="1:5" x14ac:dyDescent="0.35">
      <c r="A3" s="2" t="s">
        <v>15</v>
      </c>
      <c r="B3" s="2"/>
    </row>
    <row r="5" spans="1:5" x14ac:dyDescent="0.35">
      <c r="A5" s="11" t="s">
        <v>16</v>
      </c>
      <c r="B5" s="11">
        <v>1</v>
      </c>
      <c r="C5" s="11" t="s">
        <v>17</v>
      </c>
      <c r="E5" t="s">
        <v>70</v>
      </c>
    </row>
    <row r="6" spans="1:5" x14ac:dyDescent="0.35">
      <c r="A6" s="11" t="s">
        <v>0</v>
      </c>
      <c r="B6" s="11">
        <v>9</v>
      </c>
      <c r="C6" s="11" t="s">
        <v>18</v>
      </c>
    </row>
    <row r="9" spans="1:5" x14ac:dyDescent="0.35">
      <c r="A9" t="s">
        <v>1</v>
      </c>
      <c r="B9" t="s">
        <v>22</v>
      </c>
      <c r="C9" t="s">
        <v>12</v>
      </c>
      <c r="D9" t="s">
        <v>24</v>
      </c>
      <c r="E9" s="1" t="s">
        <v>23</v>
      </c>
    </row>
    <row r="31" spans="1:3" x14ac:dyDescent="0.35">
      <c r="A31" t="s">
        <v>16</v>
      </c>
      <c r="B31">
        <v>7</v>
      </c>
      <c r="C31" t="s">
        <v>17</v>
      </c>
    </row>
    <row r="32" spans="1:3" x14ac:dyDescent="0.35">
      <c r="A32" t="s">
        <v>0</v>
      </c>
      <c r="B32">
        <v>9</v>
      </c>
      <c r="C32" t="s">
        <v>18</v>
      </c>
    </row>
    <row r="34" spans="1:4" x14ac:dyDescent="0.35">
      <c r="A34" t="s">
        <v>1</v>
      </c>
      <c r="B34" t="s">
        <v>12</v>
      </c>
      <c r="C34" t="s">
        <v>24</v>
      </c>
      <c r="D34" s="1" t="s">
        <v>23</v>
      </c>
    </row>
    <row r="57" spans="1:4" x14ac:dyDescent="0.35">
      <c r="A57" t="s">
        <v>16</v>
      </c>
      <c r="B57">
        <v>6</v>
      </c>
      <c r="C57" t="s">
        <v>17</v>
      </c>
    </row>
    <row r="58" spans="1:4" x14ac:dyDescent="0.35">
      <c r="A58" t="s">
        <v>0</v>
      </c>
      <c r="B58">
        <v>10</v>
      </c>
      <c r="C58" t="s">
        <v>18</v>
      </c>
    </row>
    <row r="60" spans="1:4" x14ac:dyDescent="0.35">
      <c r="D6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ShoalShallow</vt:lpstr>
      <vt:lpstr>shoaling</vt:lpstr>
      <vt:lpstr>diagrammiprofondita</vt:lpstr>
      <vt:lpstr>Foglio3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</dc:creator>
  <cp:lastModifiedBy>utente</cp:lastModifiedBy>
  <cp:lastPrinted>2015-10-26T11:49:47Z</cp:lastPrinted>
  <dcterms:created xsi:type="dcterms:W3CDTF">2013-10-14T12:57:54Z</dcterms:created>
  <dcterms:modified xsi:type="dcterms:W3CDTF">2017-03-28T16:32:51Z</dcterms:modified>
</cp:coreProperties>
</file>